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jcsantos\Downloads\"/>
    </mc:Choice>
  </mc:AlternateContent>
  <xr:revisionPtr revIDLastSave="0" documentId="13_ncr:1_{30DC7B04-78D7-4E43-B65F-F88786701615}" xr6:coauthVersionLast="36" xr6:coauthVersionMax="47" xr10:uidLastSave="{00000000-0000-0000-0000-000000000000}"/>
  <bookViews>
    <workbookView xWindow="0" yWindow="0" windowWidth="20430" windowHeight="6000" tabRatio="859" firstSheet="4" activeTab="9" xr2:uid="{C5763EB7-FB65-4CC1-A9A6-C2AA7929F965}"/>
  </bookViews>
  <sheets>
    <sheet name="Internal Pricelist" sheetId="11" state="hidden" r:id="rId1"/>
    <sheet name="internal pricelist 3FLRS Sep-25" sheetId="17" state="hidden" r:id="rId2"/>
    <sheet name="Internal pricelistV2 7-Aug-24" sheetId="14" state="hidden" r:id="rId3"/>
    <sheet name="Lay Out June-18-2024" sheetId="13" state="hidden" r:id="rId4"/>
    <sheet name="Pricelink" sheetId="2" r:id="rId5"/>
    <sheet name="SPC Unit A" sheetId="4" r:id="rId6"/>
    <sheet name="SPC Unit C" sheetId="8" r:id="rId7"/>
    <sheet name="SPC Unit D" sheetId="9" r:id="rId8"/>
    <sheet name="SPC Unit E" sheetId="10" r:id="rId9"/>
    <sheet name="SPC Unit F" sheetId="12" r:id="rId10"/>
    <sheet name="Spot Equity 7 Days" sheetId="6" r:id="rId11"/>
    <sheet name="Spot Cash_30 Days" sheetId="5" r:id="rId12"/>
    <sheet name="Spot Cash_60 Days" sheetId="7" r:id="rId13"/>
  </sheets>
  <externalReferences>
    <externalReference r:id="rId14"/>
    <externalReference r:id="rId15"/>
    <externalReference r:id="rId16"/>
  </externalReferences>
  <definedNames>
    <definedName name="_xlnm.Print_Area" localSheetId="5">'SPC Unit A'!$B$1:$Q$78</definedName>
    <definedName name="_xlnm.Print_Area" localSheetId="6">'SPC Unit C'!$A$1:$Q$75</definedName>
    <definedName name="_xlnm.Print_Area" localSheetId="7">'SPC Unit D'!$B$1:$Q$75</definedName>
    <definedName name="_xlnm.Print_Area" localSheetId="8">'SPC Unit E'!$A$1:$Q$74</definedName>
    <definedName name="_xlnm.Print_Area" localSheetId="9">'SPC Unit F'!$A$1:$Q$75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2" l="1"/>
  <c r="G28" i="2"/>
  <c r="G29" i="2"/>
  <c r="G30" i="2"/>
  <c r="G31" i="2"/>
  <c r="F27" i="2"/>
  <c r="F28" i="2"/>
  <c r="F29" i="2"/>
  <c r="F30" i="2"/>
  <c r="F31" i="2"/>
  <c r="F26" i="2"/>
  <c r="D27" i="2"/>
  <c r="D28" i="2"/>
  <c r="D29" i="2"/>
  <c r="D30" i="2"/>
  <c r="D31" i="2"/>
  <c r="D26" i="2"/>
  <c r="H26" i="2"/>
  <c r="AD31" i="17" l="1"/>
  <c r="L31" i="17"/>
  <c r="I31" i="17"/>
  <c r="M31" i="17" s="1"/>
  <c r="N31" i="17" s="1"/>
  <c r="AD30" i="17"/>
  <c r="L30" i="17"/>
  <c r="I30" i="17"/>
  <c r="M30" i="17" s="1"/>
  <c r="N30" i="17" s="1"/>
  <c r="AD29" i="17"/>
  <c r="L29" i="17"/>
  <c r="I29" i="17"/>
  <c r="M29" i="17" s="1"/>
  <c r="N29" i="17" s="1"/>
  <c r="AD28" i="17"/>
  <c r="L28" i="17"/>
  <c r="I28" i="17"/>
  <c r="M28" i="17" s="1"/>
  <c r="AD27" i="17"/>
  <c r="J27" i="17"/>
  <c r="L27" i="17" s="1"/>
  <c r="G27" i="17"/>
  <c r="B27" i="17"/>
  <c r="B28" i="17" s="1"/>
  <c r="B29" i="17" s="1"/>
  <c r="B30" i="17" s="1"/>
  <c r="B31" i="17" s="1"/>
  <c r="J26" i="17"/>
  <c r="L26" i="17" s="1"/>
  <c r="I26" i="17"/>
  <c r="M26" i="17" s="1"/>
  <c r="AH24" i="17"/>
  <c r="D9" i="17"/>
  <c r="C9" i="17"/>
  <c r="G11" i="17" s="1"/>
  <c r="D8" i="17"/>
  <c r="C8" i="17"/>
  <c r="G10" i="17" s="1"/>
  <c r="I27" i="17" l="1"/>
  <c r="M27" i="17" s="1"/>
  <c r="G27" i="2"/>
  <c r="N28" i="17"/>
  <c r="N27" i="17"/>
  <c r="P27" i="17" s="1"/>
  <c r="Q27" i="17" s="1"/>
  <c r="O30" i="17"/>
  <c r="P30" i="17"/>
  <c r="Q30" i="17" s="1"/>
  <c r="P28" i="17"/>
  <c r="Q28" i="17" s="1"/>
  <c r="O28" i="17"/>
  <c r="N26" i="17"/>
  <c r="P29" i="17"/>
  <c r="Q29" i="17" s="1"/>
  <c r="O29" i="17"/>
  <c r="O27" i="17"/>
  <c r="P31" i="17"/>
  <c r="Q31" i="17" s="1"/>
  <c r="O31" i="17"/>
  <c r="R27" i="17" l="1"/>
  <c r="S27" i="17" s="1"/>
  <c r="R29" i="17"/>
  <c r="S29" i="17" s="1"/>
  <c r="U29" i="17" s="1"/>
  <c r="R28" i="17"/>
  <c r="S28" i="17" s="1"/>
  <c r="U28" i="17" s="1"/>
  <c r="R31" i="17"/>
  <c r="S31" i="17" s="1"/>
  <c r="U31" i="17" s="1"/>
  <c r="R30" i="17"/>
  <c r="S30" i="17" s="1"/>
  <c r="U30" i="17" s="1"/>
  <c r="P26" i="17"/>
  <c r="Q26" i="17" s="1"/>
  <c r="S26" i="17" s="1"/>
  <c r="U26" i="17" s="1"/>
  <c r="O26" i="17"/>
  <c r="R22" i="17" l="1"/>
  <c r="U27" i="17"/>
  <c r="V31" i="17"/>
  <c r="W31" i="17" s="1"/>
  <c r="V28" i="17"/>
  <c r="W28" i="17" s="1"/>
  <c r="V29" i="17"/>
  <c r="W29" i="17" s="1"/>
  <c r="V30" i="17"/>
  <c r="W30" i="17" s="1"/>
  <c r="V26" i="17"/>
  <c r="W26" i="17" s="1"/>
  <c r="E29" i="12"/>
  <c r="E29" i="10"/>
  <c r="E29" i="9"/>
  <c r="E29" i="8"/>
  <c r="E29" i="4"/>
  <c r="E12" i="4"/>
  <c r="E11" i="4"/>
  <c r="E8" i="4"/>
  <c r="X26" i="17" l="1"/>
  <c r="Y23" i="17" s="1"/>
  <c r="X29" i="17"/>
  <c r="Y29" i="17" s="1"/>
  <c r="H29" i="2" s="1"/>
  <c r="X28" i="17"/>
  <c r="Y28" i="17" s="1"/>
  <c r="H28" i="2" s="1"/>
  <c r="X31" i="17"/>
  <c r="Y31" i="17" s="1"/>
  <c r="H31" i="2" s="1"/>
  <c r="X30" i="17"/>
  <c r="Y30" i="17" s="1"/>
  <c r="H30" i="2" s="1"/>
  <c r="V27" i="17"/>
  <c r="W27" i="17" s="1"/>
  <c r="X27" i="17" l="1"/>
  <c r="Y27" i="17" s="1"/>
  <c r="H27" i="2" s="1"/>
  <c r="Z30" i="17"/>
  <c r="AB30" i="17" s="1"/>
  <c r="Z31" i="17"/>
  <c r="AD43" i="17" s="1"/>
  <c r="AD42" i="17"/>
  <c r="AF42" i="17" s="1"/>
  <c r="Z28" i="17"/>
  <c r="AB28" i="17" s="1"/>
  <c r="Z29" i="17"/>
  <c r="AB29" i="17" s="1"/>
  <c r="Z26" i="17"/>
  <c r="AB26" i="17" s="1"/>
  <c r="AB31" i="17" l="1"/>
  <c r="AC28" i="17"/>
  <c r="AE28" i="17" s="1"/>
  <c r="AG28" i="17" s="1"/>
  <c r="AL28" i="17"/>
  <c r="AH28" i="17"/>
  <c r="AH30" i="17"/>
  <c r="AC30" i="17"/>
  <c r="AE30" i="17" s="1"/>
  <c r="AG30" i="17" s="1"/>
  <c r="AL30" i="17"/>
  <c r="AD44" i="17"/>
  <c r="AC31" i="17"/>
  <c r="AE31" i="17" s="1"/>
  <c r="AG31" i="17" s="1"/>
  <c r="AL31" i="17"/>
  <c r="AH31" i="17"/>
  <c r="Z27" i="17"/>
  <c r="AB27" i="17" s="1"/>
  <c r="AF43" i="17"/>
  <c r="AF44" i="17" s="1"/>
  <c r="AH42" i="17"/>
  <c r="AL26" i="17"/>
  <c r="AH26" i="17"/>
  <c r="AC26" i="17"/>
  <c r="AE26" i="17" s="1"/>
  <c r="AG26" i="17" s="1"/>
  <c r="AL29" i="17"/>
  <c r="AH29" i="17"/>
  <c r="AC29" i="17"/>
  <c r="AE29" i="17" s="1"/>
  <c r="AG29" i="17" s="1"/>
  <c r="AF45" i="17" l="1"/>
  <c r="AF46" i="17" s="1"/>
  <c r="AH27" i="17"/>
  <c r="AC27" i="17"/>
  <c r="AE27" i="17" s="1"/>
  <c r="AG27" i="17" s="1"/>
  <c r="AL27" i="17"/>
  <c r="AM26" i="17"/>
  <c r="AN26" i="17" s="1"/>
  <c r="AI26" i="17"/>
  <c r="AM30" i="17"/>
  <c r="AN30" i="17" s="1"/>
  <c r="AI30" i="17"/>
  <c r="AH43" i="17"/>
  <c r="AH44" i="17" s="1"/>
  <c r="AJ42" i="17"/>
  <c r="AJ44" i="17" s="1"/>
  <c r="AI29" i="17"/>
  <c r="AM29" i="17"/>
  <c r="AN29" i="17" s="1"/>
  <c r="AM28" i="17"/>
  <c r="AN28" i="17" s="1"/>
  <c r="AI28" i="17"/>
  <c r="AM31" i="17"/>
  <c r="AN31" i="17" s="1"/>
  <c r="AI31" i="17"/>
  <c r="I30" i="14"/>
  <c r="I26" i="14"/>
  <c r="J26" i="14"/>
  <c r="J27" i="14"/>
  <c r="AH45" i="17" l="1"/>
  <c r="AH46" i="17" s="1"/>
  <c r="AJ45" i="17"/>
  <c r="AJ46" i="17"/>
  <c r="AM27" i="17"/>
  <c r="AN27" i="17" s="1"/>
  <c r="AI27" i="17"/>
  <c r="G29" i="14"/>
  <c r="G31" i="14"/>
  <c r="G27" i="14"/>
  <c r="I31" i="14" l="1"/>
  <c r="M31" i="14" s="1"/>
  <c r="I29" i="14"/>
  <c r="M29" i="14" s="1"/>
  <c r="I28" i="14"/>
  <c r="M28" i="14" s="1"/>
  <c r="I27" i="14"/>
  <c r="M27" i="14" s="1"/>
  <c r="AD31" i="14"/>
  <c r="L31" i="14"/>
  <c r="AD30" i="14"/>
  <c r="L30" i="14"/>
  <c r="AD29" i="14"/>
  <c r="L29" i="14"/>
  <c r="AD28" i="14"/>
  <c r="L28" i="14"/>
  <c r="AD27" i="14"/>
  <c r="L27" i="14"/>
  <c r="B27" i="14"/>
  <c r="B28" i="14" s="1"/>
  <c r="B29" i="14" s="1"/>
  <c r="B30" i="14" s="1"/>
  <c r="B31" i="14" s="1"/>
  <c r="L26" i="14"/>
  <c r="AH24" i="14"/>
  <c r="D9" i="14"/>
  <c r="C9" i="14"/>
  <c r="G11" i="14" s="1"/>
  <c r="D8" i="14"/>
  <c r="C8" i="14"/>
  <c r="G10" i="14" s="1"/>
  <c r="E10" i="12"/>
  <c r="N10" i="12" s="1"/>
  <c r="E8" i="12"/>
  <c r="N8" i="12" s="1"/>
  <c r="K70" i="12"/>
  <c r="F70" i="12"/>
  <c r="D38" i="12"/>
  <c r="D37" i="12"/>
  <c r="D36" i="12"/>
  <c r="N34" i="12"/>
  <c r="D25" i="12"/>
  <c r="E24" i="12"/>
  <c r="E31" i="12" s="1"/>
  <c r="N17" i="12"/>
  <c r="E7" i="12"/>
  <c r="N7" i="12" s="1"/>
  <c r="N6" i="12"/>
  <c r="C2" i="12"/>
  <c r="L2" i="12" s="1"/>
  <c r="D1" i="12"/>
  <c r="N39" i="12" l="1"/>
  <c r="M39" i="12" s="1"/>
  <c r="N57" i="12"/>
  <c r="M57" i="12" s="1"/>
  <c r="N58" i="12"/>
  <c r="M58" i="12" s="1"/>
  <c r="N40" i="12"/>
  <c r="M40" i="12" s="1"/>
  <c r="N59" i="12"/>
  <c r="M59" i="12" s="1"/>
  <c r="N52" i="12"/>
  <c r="M52" i="12" s="1"/>
  <c r="N60" i="12"/>
  <c r="M60" i="12" s="1"/>
  <c r="N61" i="12"/>
  <c r="M61" i="12" s="1"/>
  <c r="N53" i="12"/>
  <c r="N62" i="12"/>
  <c r="M62" i="12" s="1"/>
  <c r="N56" i="12"/>
  <c r="M56" i="12" s="1"/>
  <c r="M30" i="14"/>
  <c r="N30" i="14" s="1"/>
  <c r="O30" i="14" s="1"/>
  <c r="N31" i="14"/>
  <c r="N29" i="14"/>
  <c r="O29" i="14" s="1"/>
  <c r="N27" i="14"/>
  <c r="O27" i="14" s="1"/>
  <c r="N28" i="14"/>
  <c r="O28" i="14" s="1"/>
  <c r="N46" i="12"/>
  <c r="M46" i="12" s="1"/>
  <c r="N36" i="12"/>
  <c r="N47" i="12"/>
  <c r="M47" i="12" s="1"/>
  <c r="N48" i="12"/>
  <c r="M48" i="12" s="1"/>
  <c r="N37" i="12"/>
  <c r="K37" i="12" s="1"/>
  <c r="N49" i="12"/>
  <c r="M49" i="12" s="1"/>
  <c r="N63" i="12"/>
  <c r="M63" i="12" s="1"/>
  <c r="N54" i="12"/>
  <c r="M54" i="12" s="1"/>
  <c r="N31" i="12"/>
  <c r="M31" i="12" s="1"/>
  <c r="N41" i="12"/>
  <c r="N42" i="12"/>
  <c r="M42" i="12" s="1"/>
  <c r="N55" i="12"/>
  <c r="N33" i="12"/>
  <c r="N43" i="12"/>
  <c r="M43" i="12" s="1"/>
  <c r="N44" i="12"/>
  <c r="M44" i="12" s="1"/>
  <c r="N35" i="12"/>
  <c r="N45" i="12"/>
  <c r="N50" i="12"/>
  <c r="M50" i="12" s="1"/>
  <c r="N38" i="12"/>
  <c r="M38" i="12" s="1"/>
  <c r="N51" i="12"/>
  <c r="M51" i="12" s="1"/>
  <c r="M37" i="12"/>
  <c r="M34" i="12"/>
  <c r="K34" i="12"/>
  <c r="M17" i="12"/>
  <c r="W17" i="12" s="1"/>
  <c r="N30" i="12"/>
  <c r="K50" i="12"/>
  <c r="K56" i="12"/>
  <c r="N32" i="12"/>
  <c r="L26" i="2"/>
  <c r="C8" i="11"/>
  <c r="G10" i="11" s="1"/>
  <c r="D8" i="11"/>
  <c r="C9" i="11"/>
  <c r="G11" i="11" s="1"/>
  <c r="D9" i="11"/>
  <c r="AH24" i="11"/>
  <c r="F26" i="11"/>
  <c r="G26" i="11"/>
  <c r="AA44" i="11" s="1"/>
  <c r="L26" i="11"/>
  <c r="M26" i="11"/>
  <c r="N26" i="11" s="1"/>
  <c r="T26" i="11"/>
  <c r="B27" i="11"/>
  <c r="B28" i="11" s="1"/>
  <c r="B29" i="11" s="1"/>
  <c r="B30" i="11" s="1"/>
  <c r="B31" i="11" s="1"/>
  <c r="F27" i="11"/>
  <c r="G27" i="11"/>
  <c r="I27" i="11" s="1"/>
  <c r="M27" i="11" s="1"/>
  <c r="L27" i="11"/>
  <c r="AE27" i="11"/>
  <c r="L27" i="2" s="1"/>
  <c r="F28" i="11"/>
  <c r="G28" i="11"/>
  <c r="I28" i="11" s="1"/>
  <c r="M28" i="11" s="1"/>
  <c r="L28" i="11"/>
  <c r="AE28" i="11"/>
  <c r="L28" i="2" s="1"/>
  <c r="F29" i="11"/>
  <c r="G29" i="11"/>
  <c r="I29" i="11" s="1"/>
  <c r="M29" i="11" s="1"/>
  <c r="L29" i="11"/>
  <c r="AE29" i="11"/>
  <c r="L29" i="2" s="1"/>
  <c r="F30" i="11"/>
  <c r="G30" i="11"/>
  <c r="I30" i="11"/>
  <c r="M30" i="11" s="1"/>
  <c r="N30" i="11" s="1"/>
  <c r="L30" i="11"/>
  <c r="AE30" i="11"/>
  <c r="L30" i="2" s="1"/>
  <c r="F31" i="11"/>
  <c r="G31" i="11"/>
  <c r="I31" i="11"/>
  <c r="M31" i="11" s="1"/>
  <c r="N31" i="11" s="1"/>
  <c r="L31" i="11"/>
  <c r="AE31" i="11"/>
  <c r="L31" i="2" s="1"/>
  <c r="Z52" i="11"/>
  <c r="K39" i="12" l="1"/>
  <c r="K42" i="12"/>
  <c r="K57" i="12"/>
  <c r="K59" i="12"/>
  <c r="K40" i="12"/>
  <c r="K62" i="12"/>
  <c r="K58" i="12"/>
  <c r="K47" i="12"/>
  <c r="K46" i="12"/>
  <c r="K60" i="12"/>
  <c r="P31" i="14"/>
  <c r="Q31" i="14" s="1"/>
  <c r="O31" i="14"/>
  <c r="M53" i="12"/>
  <c r="K53" i="12"/>
  <c r="K54" i="12"/>
  <c r="K61" i="12"/>
  <c r="K52" i="12"/>
  <c r="K49" i="12"/>
  <c r="O26" i="11"/>
  <c r="P26" i="11" s="1"/>
  <c r="K48" i="12"/>
  <c r="K63" i="12"/>
  <c r="P28" i="14"/>
  <c r="Q28" i="14" s="1"/>
  <c r="P27" i="14"/>
  <c r="Q27" i="14" s="1"/>
  <c r="R31" i="14"/>
  <c r="S31" i="14" s="1"/>
  <c r="P30" i="14"/>
  <c r="Q30" i="14" s="1"/>
  <c r="P29" i="14"/>
  <c r="Q29" i="14" s="1"/>
  <c r="M35" i="12"/>
  <c r="K35" i="12"/>
  <c r="M33" i="12"/>
  <c r="K33" i="12"/>
  <c r="M55" i="12"/>
  <c r="K55" i="12"/>
  <c r="K51" i="12"/>
  <c r="M41" i="12"/>
  <c r="K41" i="12"/>
  <c r="K44" i="12"/>
  <c r="K31" i="12"/>
  <c r="K38" i="12"/>
  <c r="K43" i="12"/>
  <c r="M36" i="12"/>
  <c r="K36" i="12"/>
  <c r="M45" i="12"/>
  <c r="K45" i="12"/>
  <c r="M30" i="12"/>
  <c r="K30" i="12"/>
  <c r="M32" i="12"/>
  <c r="K32" i="12"/>
  <c r="AA20" i="12"/>
  <c r="W18" i="12" s="1"/>
  <c r="W19" i="12" s="1"/>
  <c r="W20" i="12" s="1"/>
  <c r="W21" i="12" s="1"/>
  <c r="W22" i="12" s="1"/>
  <c r="W23" i="12" s="1"/>
  <c r="W24" i="12" s="1"/>
  <c r="W25" i="12" s="1"/>
  <c r="W26" i="12" s="1"/>
  <c r="W27" i="12" s="1"/>
  <c r="W28" i="12" s="1"/>
  <c r="W29" i="12" s="1"/>
  <c r="W30" i="12" s="1"/>
  <c r="W31" i="12" s="1"/>
  <c r="W32" i="12" s="1"/>
  <c r="W33" i="12" s="1"/>
  <c r="W34" i="12" s="1"/>
  <c r="W35" i="12" s="1"/>
  <c r="W36" i="12" s="1"/>
  <c r="W37" i="12" s="1"/>
  <c r="W38" i="12" s="1"/>
  <c r="W39" i="12" s="1"/>
  <c r="W40" i="12" s="1"/>
  <c r="W41" i="12" s="1"/>
  <c r="W42" i="12" s="1"/>
  <c r="W43" i="12" s="1"/>
  <c r="W44" i="12" s="1"/>
  <c r="W45" i="12" s="1"/>
  <c r="W46" i="12" s="1"/>
  <c r="W47" i="12" s="1"/>
  <c r="W48" i="12" s="1"/>
  <c r="W49" i="12" s="1"/>
  <c r="W50" i="12" s="1"/>
  <c r="W51" i="12" s="1"/>
  <c r="W52" i="12" s="1"/>
  <c r="W53" i="12" s="1"/>
  <c r="W54" i="12" s="1"/>
  <c r="W55" i="12" s="1"/>
  <c r="W56" i="12" s="1"/>
  <c r="W57" i="12" s="1"/>
  <c r="W58" i="12" s="1"/>
  <c r="W59" i="12" s="1"/>
  <c r="W60" i="12" s="1"/>
  <c r="W61" i="12" s="1"/>
  <c r="W62" i="12" s="1"/>
  <c r="Y19" i="12"/>
  <c r="Y20" i="12"/>
  <c r="X17" i="12"/>
  <c r="AA19" i="12" s="1"/>
  <c r="M64" i="12" s="1"/>
  <c r="O31" i="11"/>
  <c r="P31" i="11" s="1"/>
  <c r="Q31" i="11" s="1"/>
  <c r="O30" i="11"/>
  <c r="N29" i="11"/>
  <c r="O29" i="11"/>
  <c r="P30" i="11"/>
  <c r="Q30" i="11" s="1"/>
  <c r="O28" i="11"/>
  <c r="N28" i="11"/>
  <c r="N27" i="11"/>
  <c r="O27" i="11"/>
  <c r="Q26" i="11" l="1"/>
  <c r="R30" i="14"/>
  <c r="S30" i="14" s="1"/>
  <c r="R27" i="14"/>
  <c r="S27" i="14" s="1"/>
  <c r="R28" i="14"/>
  <c r="S28" i="14" s="1"/>
  <c r="R29" i="14"/>
  <c r="S29" i="14" s="1"/>
  <c r="R31" i="11"/>
  <c r="S31" i="11" s="1"/>
  <c r="S26" i="11"/>
  <c r="H26" i="11"/>
  <c r="P28" i="11"/>
  <c r="Q28" i="11"/>
  <c r="P27" i="11"/>
  <c r="Q27" i="11" s="1"/>
  <c r="R30" i="11"/>
  <c r="S30" i="11" s="1"/>
  <c r="P29" i="11"/>
  <c r="Q29" i="11"/>
  <c r="N30" i="8"/>
  <c r="E10" i="10"/>
  <c r="N10" i="10" s="1"/>
  <c r="E8" i="10"/>
  <c r="N8" i="10" s="1"/>
  <c r="K70" i="10"/>
  <c r="F70" i="10"/>
  <c r="D38" i="10"/>
  <c r="D37" i="10"/>
  <c r="D36" i="10"/>
  <c r="N37" i="10"/>
  <c r="D25" i="10"/>
  <c r="E24" i="10"/>
  <c r="E31" i="10" s="1"/>
  <c r="N17" i="10"/>
  <c r="E7" i="10"/>
  <c r="N7" i="10" s="1"/>
  <c r="N6" i="10"/>
  <c r="C2" i="10"/>
  <c r="M17" i="10" s="1"/>
  <c r="W17" i="10" s="1"/>
  <c r="D1" i="10"/>
  <c r="N37" i="9"/>
  <c r="E10" i="9"/>
  <c r="N10" i="9" s="1"/>
  <c r="E8" i="9"/>
  <c r="N8" i="9" s="1"/>
  <c r="K70" i="9"/>
  <c r="F70" i="9"/>
  <c r="D38" i="9"/>
  <c r="D37" i="9"/>
  <c r="D36" i="9"/>
  <c r="D25" i="9"/>
  <c r="E24" i="9"/>
  <c r="E31" i="9" s="1"/>
  <c r="N17" i="9"/>
  <c r="E7" i="9"/>
  <c r="N7" i="9" s="1"/>
  <c r="N6" i="9"/>
  <c r="C2" i="9"/>
  <c r="M17" i="9" s="1"/>
  <c r="W17" i="9" s="1"/>
  <c r="D1" i="9"/>
  <c r="E10" i="8"/>
  <c r="N10" i="8" s="1"/>
  <c r="E8" i="8"/>
  <c r="N8" i="8" s="1"/>
  <c r="K70" i="8"/>
  <c r="F70" i="8"/>
  <c r="D38" i="8"/>
  <c r="D37" i="8"/>
  <c r="D36" i="8"/>
  <c r="N37" i="8"/>
  <c r="D25" i="8"/>
  <c r="E24" i="8"/>
  <c r="E31" i="8" s="1"/>
  <c r="N31" i="8" s="1"/>
  <c r="N17" i="8"/>
  <c r="E7" i="8"/>
  <c r="N7" i="8" s="1"/>
  <c r="N6" i="8"/>
  <c r="C2" i="8"/>
  <c r="L2" i="8" s="1"/>
  <c r="D1" i="8"/>
  <c r="C2" i="4"/>
  <c r="C2" i="6" s="1"/>
  <c r="K70" i="4"/>
  <c r="H37" i="7"/>
  <c r="M29" i="7"/>
  <c r="B35" i="5"/>
  <c r="L28" i="5" s="1"/>
  <c r="B36" i="7"/>
  <c r="L28" i="7" s="1"/>
  <c r="E7" i="7"/>
  <c r="O7" i="7" s="1"/>
  <c r="E7" i="5"/>
  <c r="O7" i="5" s="1"/>
  <c r="L20" i="7"/>
  <c r="L19" i="7"/>
  <c r="G36" i="7"/>
  <c r="F27" i="7"/>
  <c r="O18" i="7" s="1"/>
  <c r="E14" i="7"/>
  <c r="O14" i="7" s="1"/>
  <c r="E10" i="7"/>
  <c r="O10" i="7" s="1"/>
  <c r="Q2" i="7"/>
  <c r="F28" i="6"/>
  <c r="E13" i="6"/>
  <c r="M13" i="6" s="1"/>
  <c r="E6" i="6"/>
  <c r="M6" i="6" s="1"/>
  <c r="F51" i="6"/>
  <c r="B51" i="6"/>
  <c r="J28" i="6" s="1"/>
  <c r="D39" i="6"/>
  <c r="D38" i="6"/>
  <c r="D37" i="6"/>
  <c r="D26" i="6"/>
  <c r="D27" i="6" s="1"/>
  <c r="E25" i="6"/>
  <c r="M17" i="6"/>
  <c r="M9" i="6"/>
  <c r="F27" i="5"/>
  <c r="O18" i="5" s="1"/>
  <c r="E10" i="4"/>
  <c r="E10" i="6" s="1"/>
  <c r="M10" i="6" s="1"/>
  <c r="E9" i="5"/>
  <c r="O9" i="5" s="1"/>
  <c r="E7" i="4"/>
  <c r="E7" i="6" s="1"/>
  <c r="M7" i="6" s="1"/>
  <c r="E14" i="5"/>
  <c r="O14" i="5" s="1"/>
  <c r="E10" i="5"/>
  <c r="O10" i="5" s="1"/>
  <c r="Q2" i="5"/>
  <c r="F70" i="4"/>
  <c r="D38" i="4"/>
  <c r="D37" i="4"/>
  <c r="D36" i="4"/>
  <c r="D25" i="4"/>
  <c r="E24" i="4"/>
  <c r="E31" i="4" s="1"/>
  <c r="N17" i="4"/>
  <c r="N6" i="4"/>
  <c r="D1" i="4"/>
  <c r="N7" i="4" l="1"/>
  <c r="R22" i="14"/>
  <c r="R27" i="11"/>
  <c r="S27" i="11" s="1"/>
  <c r="R29" i="11"/>
  <c r="S29" i="11" s="1"/>
  <c r="R28" i="11"/>
  <c r="S28" i="11" s="1"/>
  <c r="U26" i="11"/>
  <c r="V26" i="11" s="1"/>
  <c r="AA45" i="11"/>
  <c r="Z26" i="11"/>
  <c r="N35" i="8"/>
  <c r="K35" i="8" s="1"/>
  <c r="N35" i="10"/>
  <c r="K35" i="10" s="1"/>
  <c r="L2" i="10"/>
  <c r="M37" i="10"/>
  <c r="K37" i="10"/>
  <c r="X17" i="10"/>
  <c r="AA19" i="10" s="1"/>
  <c r="M64" i="10" s="1"/>
  <c r="AA20" i="10"/>
  <c r="W18" i="10" s="1"/>
  <c r="W19" i="10" s="1"/>
  <c r="W20" i="10" s="1"/>
  <c r="W21" i="10" s="1"/>
  <c r="W22" i="10" s="1"/>
  <c r="W23" i="10" s="1"/>
  <c r="W24" i="10" s="1"/>
  <c r="W25" i="10" s="1"/>
  <c r="W26" i="10" s="1"/>
  <c r="W27" i="10" s="1"/>
  <c r="W28" i="10" s="1"/>
  <c r="W29" i="10" s="1"/>
  <c r="W30" i="10" s="1"/>
  <c r="W31" i="10" s="1"/>
  <c r="W32" i="10" s="1"/>
  <c r="W33" i="10" s="1"/>
  <c r="W34" i="10" s="1"/>
  <c r="W35" i="10" s="1"/>
  <c r="W36" i="10" s="1"/>
  <c r="W37" i="10" s="1"/>
  <c r="W38" i="10" s="1"/>
  <c r="W39" i="10" s="1"/>
  <c r="W40" i="10" s="1"/>
  <c r="W41" i="10" s="1"/>
  <c r="W42" i="10" s="1"/>
  <c r="W43" i="10" s="1"/>
  <c r="W44" i="10" s="1"/>
  <c r="W45" i="10" s="1"/>
  <c r="W46" i="10" s="1"/>
  <c r="W47" i="10" s="1"/>
  <c r="W48" i="10" s="1"/>
  <c r="W49" i="10" s="1"/>
  <c r="W50" i="10" s="1"/>
  <c r="W51" i="10" s="1"/>
  <c r="W52" i="10" s="1"/>
  <c r="W53" i="10" s="1"/>
  <c r="W54" i="10" s="1"/>
  <c r="W55" i="10" s="1"/>
  <c r="W56" i="10" s="1"/>
  <c r="W57" i="10" s="1"/>
  <c r="W58" i="10" s="1"/>
  <c r="W59" i="10" s="1"/>
  <c r="W60" i="10" s="1"/>
  <c r="W61" i="10" s="1"/>
  <c r="W62" i="10" s="1"/>
  <c r="Y20" i="10"/>
  <c r="Y19" i="10"/>
  <c r="N41" i="10"/>
  <c r="N45" i="10"/>
  <c r="N49" i="10"/>
  <c r="N53" i="10"/>
  <c r="N57" i="10"/>
  <c r="N61" i="10"/>
  <c r="N32" i="10"/>
  <c r="N38" i="10"/>
  <c r="N42" i="10"/>
  <c r="N46" i="10"/>
  <c r="N50" i="10"/>
  <c r="N54" i="10"/>
  <c r="N58" i="10"/>
  <c r="N62" i="10"/>
  <c r="N36" i="10"/>
  <c r="N33" i="10"/>
  <c r="N43" i="10"/>
  <c r="N51" i="10"/>
  <c r="N55" i="10"/>
  <c r="N59" i="10"/>
  <c r="N63" i="10"/>
  <c r="N47" i="10"/>
  <c r="N34" i="10"/>
  <c r="N40" i="10"/>
  <c r="N44" i="10"/>
  <c r="N48" i="10"/>
  <c r="N52" i="10"/>
  <c r="N56" i="10"/>
  <c r="N60" i="10"/>
  <c r="N39" i="10"/>
  <c r="L2" i="9"/>
  <c r="M37" i="9"/>
  <c r="K37" i="9"/>
  <c r="AA20" i="9"/>
  <c r="W18" i="9" s="1"/>
  <c r="W19" i="9" s="1"/>
  <c r="W20" i="9" s="1"/>
  <c r="W21" i="9" s="1"/>
  <c r="W22" i="9" s="1"/>
  <c r="W23" i="9" s="1"/>
  <c r="W24" i="9" s="1"/>
  <c r="W25" i="9" s="1"/>
  <c r="W26" i="9" s="1"/>
  <c r="W27" i="9" s="1"/>
  <c r="W28" i="9" s="1"/>
  <c r="W29" i="9" s="1"/>
  <c r="W30" i="9" s="1"/>
  <c r="W31" i="9" s="1"/>
  <c r="W32" i="9" s="1"/>
  <c r="W33" i="9" s="1"/>
  <c r="W34" i="9" s="1"/>
  <c r="W35" i="9" s="1"/>
  <c r="W36" i="9" s="1"/>
  <c r="W37" i="9" s="1"/>
  <c r="W38" i="9" s="1"/>
  <c r="W39" i="9" s="1"/>
  <c r="W40" i="9" s="1"/>
  <c r="W41" i="9" s="1"/>
  <c r="W42" i="9" s="1"/>
  <c r="W43" i="9" s="1"/>
  <c r="W44" i="9" s="1"/>
  <c r="W45" i="9" s="1"/>
  <c r="W46" i="9" s="1"/>
  <c r="W47" i="9" s="1"/>
  <c r="W48" i="9" s="1"/>
  <c r="W49" i="9" s="1"/>
  <c r="W50" i="9" s="1"/>
  <c r="W51" i="9" s="1"/>
  <c r="W52" i="9" s="1"/>
  <c r="W53" i="9" s="1"/>
  <c r="W54" i="9" s="1"/>
  <c r="W55" i="9" s="1"/>
  <c r="W56" i="9" s="1"/>
  <c r="W57" i="9" s="1"/>
  <c r="W58" i="9" s="1"/>
  <c r="W59" i="9" s="1"/>
  <c r="W60" i="9" s="1"/>
  <c r="W61" i="9" s="1"/>
  <c r="W62" i="9" s="1"/>
  <c r="Y20" i="9"/>
  <c r="X17" i="9"/>
  <c r="AA19" i="9" s="1"/>
  <c r="M64" i="9" s="1"/>
  <c r="Y19" i="9"/>
  <c r="N35" i="9"/>
  <c r="N41" i="9"/>
  <c r="N45" i="9"/>
  <c r="N49" i="9"/>
  <c r="N53" i="9"/>
  <c r="N57" i="9"/>
  <c r="N61" i="9"/>
  <c r="N32" i="9"/>
  <c r="N38" i="9"/>
  <c r="N42" i="9"/>
  <c r="N46" i="9"/>
  <c r="N50" i="9"/>
  <c r="N54" i="9"/>
  <c r="N58" i="9"/>
  <c r="N62" i="9"/>
  <c r="N36" i="9"/>
  <c r="N33" i="9"/>
  <c r="N39" i="9"/>
  <c r="N43" i="9"/>
  <c r="N47" i="9"/>
  <c r="N51" i="9"/>
  <c r="N55" i="9"/>
  <c r="N59" i="9"/>
  <c r="N63" i="9"/>
  <c r="N34" i="9"/>
  <c r="N40" i="9"/>
  <c r="N44" i="9"/>
  <c r="N48" i="9"/>
  <c r="N52" i="9"/>
  <c r="N56" i="9"/>
  <c r="N60" i="9"/>
  <c r="M35" i="8"/>
  <c r="M37" i="8"/>
  <c r="K37" i="8"/>
  <c r="N41" i="8"/>
  <c r="N45" i="8"/>
  <c r="N49" i="8"/>
  <c r="N53" i="8"/>
  <c r="N57" i="8"/>
  <c r="N61" i="8"/>
  <c r="N38" i="8"/>
  <c r="N42" i="8"/>
  <c r="N46" i="8"/>
  <c r="N50" i="8"/>
  <c r="N54" i="8"/>
  <c r="N58" i="8"/>
  <c r="N62" i="8"/>
  <c r="M17" i="8"/>
  <c r="W17" i="8" s="1"/>
  <c r="N36" i="8"/>
  <c r="N32" i="8"/>
  <c r="N33" i="8"/>
  <c r="N39" i="8"/>
  <c r="N43" i="8"/>
  <c r="N47" i="8"/>
  <c r="N51" i="8"/>
  <c r="N55" i="8"/>
  <c r="N59" i="8"/>
  <c r="N63" i="8"/>
  <c r="N34" i="8"/>
  <c r="N44" i="8"/>
  <c r="N48" i="8"/>
  <c r="N56" i="8"/>
  <c r="N60" i="8"/>
  <c r="N40" i="8"/>
  <c r="N52" i="8"/>
  <c r="L2" i="4"/>
  <c r="C2" i="5"/>
  <c r="N18" i="5" s="1"/>
  <c r="N19" i="5" s="1"/>
  <c r="C2" i="7"/>
  <c r="M2" i="7" s="1"/>
  <c r="K2" i="6"/>
  <c r="L17" i="6"/>
  <c r="L18" i="6" s="1"/>
  <c r="M17" i="4"/>
  <c r="W17" i="4" s="1"/>
  <c r="Y20" i="4" s="1"/>
  <c r="E8" i="5"/>
  <c r="E9" i="7"/>
  <c r="O9" i="7" s="1"/>
  <c r="E11" i="7"/>
  <c r="O11" i="7" s="1"/>
  <c r="E11" i="5"/>
  <c r="O11" i="5" s="1"/>
  <c r="E8" i="6"/>
  <c r="M8" i="6" s="1"/>
  <c r="E31" i="6"/>
  <c r="N51" i="4"/>
  <c r="N54" i="4"/>
  <c r="N45" i="4"/>
  <c r="N41" i="4"/>
  <c r="N48" i="4"/>
  <c r="N40" i="4"/>
  <c r="N60" i="4"/>
  <c r="N44" i="4"/>
  <c r="N53" i="4"/>
  <c r="N56" i="4"/>
  <c r="N47" i="4"/>
  <c r="N52" i="4"/>
  <c r="N63" i="4"/>
  <c r="N59" i="4"/>
  <c r="N50" i="4"/>
  <c r="N61" i="4"/>
  <c r="N38" i="4"/>
  <c r="N57" i="4"/>
  <c r="N43" i="4"/>
  <c r="N39" i="4"/>
  <c r="N42" i="4"/>
  <c r="N55" i="4"/>
  <c r="N62" i="4"/>
  <c r="N58" i="4"/>
  <c r="N49" i="4"/>
  <c r="N46" i="4"/>
  <c r="N8" i="4"/>
  <c r="N10" i="4"/>
  <c r="M35" i="10" l="1"/>
  <c r="W26" i="11"/>
  <c r="X26" i="11" s="1"/>
  <c r="Y26" i="11" s="1"/>
  <c r="R22" i="11"/>
  <c r="AA26" i="11"/>
  <c r="AC26" i="11" s="1"/>
  <c r="AB26" i="11"/>
  <c r="AA46" i="11"/>
  <c r="M36" i="10"/>
  <c r="K36" i="10"/>
  <c r="M44" i="10"/>
  <c r="K44" i="10"/>
  <c r="K61" i="10"/>
  <c r="M61" i="10"/>
  <c r="K57" i="10"/>
  <c r="M57" i="10"/>
  <c r="K53" i="10"/>
  <c r="M53" i="10"/>
  <c r="M34" i="10"/>
  <c r="K34" i="10"/>
  <c r="K49" i="10"/>
  <c r="M49" i="10"/>
  <c r="K45" i="10"/>
  <c r="M45" i="10"/>
  <c r="M52" i="10"/>
  <c r="K52" i="10"/>
  <c r="M62" i="10"/>
  <c r="K62" i="10"/>
  <c r="K41" i="10"/>
  <c r="M41" i="10"/>
  <c r="M58" i="10"/>
  <c r="K58" i="10"/>
  <c r="M54" i="10"/>
  <c r="K54" i="10"/>
  <c r="M48" i="10"/>
  <c r="K48" i="10"/>
  <c r="M40" i="10"/>
  <c r="K40" i="10"/>
  <c r="M47" i="10"/>
  <c r="K47" i="10"/>
  <c r="M63" i="10"/>
  <c r="K63" i="10"/>
  <c r="M50" i="10"/>
  <c r="K50" i="10"/>
  <c r="M59" i="10"/>
  <c r="K59" i="10"/>
  <c r="M38" i="10"/>
  <c r="K38" i="10"/>
  <c r="M60" i="10"/>
  <c r="K60" i="10"/>
  <c r="M43" i="10"/>
  <c r="K43" i="10"/>
  <c r="K32" i="10"/>
  <c r="M32" i="10"/>
  <c r="M46" i="10"/>
  <c r="K46" i="10"/>
  <c r="M55" i="10"/>
  <c r="K55" i="10"/>
  <c r="M42" i="10"/>
  <c r="K42" i="10"/>
  <c r="M39" i="10"/>
  <c r="K39" i="10"/>
  <c r="M51" i="10"/>
  <c r="K51" i="10"/>
  <c r="M56" i="10"/>
  <c r="K56" i="10"/>
  <c r="M33" i="10"/>
  <c r="K33" i="10"/>
  <c r="M49" i="9"/>
  <c r="K49" i="9"/>
  <c r="M45" i="9"/>
  <c r="K45" i="9"/>
  <c r="M41" i="9"/>
  <c r="K41" i="9"/>
  <c r="K35" i="9"/>
  <c r="M35" i="9"/>
  <c r="M59" i="9"/>
  <c r="K59" i="9"/>
  <c r="M58" i="9"/>
  <c r="K58" i="9"/>
  <c r="M63" i="9"/>
  <c r="K63" i="9"/>
  <c r="M62" i="9"/>
  <c r="K62" i="9"/>
  <c r="M55" i="9"/>
  <c r="K55" i="9"/>
  <c r="M54" i="9"/>
  <c r="K54" i="9"/>
  <c r="M51" i="9"/>
  <c r="K51" i="9"/>
  <c r="M50" i="9"/>
  <c r="K50" i="9"/>
  <c r="M42" i="9"/>
  <c r="K42" i="9"/>
  <c r="M34" i="9"/>
  <c r="K34" i="9"/>
  <c r="M47" i="9"/>
  <c r="K47" i="9"/>
  <c r="M43" i="9"/>
  <c r="K43" i="9"/>
  <c r="M52" i="9"/>
  <c r="K52" i="9"/>
  <c r="M57" i="9"/>
  <c r="K57" i="9"/>
  <c r="M38" i="9"/>
  <c r="K38" i="9"/>
  <c r="M33" i="9"/>
  <c r="K33" i="9"/>
  <c r="M48" i="9"/>
  <c r="K48" i="9"/>
  <c r="M36" i="9"/>
  <c r="K36" i="9"/>
  <c r="M40" i="9"/>
  <c r="K40" i="9"/>
  <c r="M53" i="9"/>
  <c r="K53" i="9"/>
  <c r="M46" i="9"/>
  <c r="K46" i="9"/>
  <c r="M60" i="9"/>
  <c r="K60" i="9"/>
  <c r="M39" i="9"/>
  <c r="K39" i="9"/>
  <c r="M56" i="9"/>
  <c r="K56" i="9"/>
  <c r="K32" i="9"/>
  <c r="M32" i="9"/>
  <c r="M44" i="9"/>
  <c r="K44" i="9"/>
  <c r="M61" i="9"/>
  <c r="K61" i="9"/>
  <c r="R1" i="6"/>
  <c r="M39" i="8"/>
  <c r="K39" i="8"/>
  <c r="M42" i="8"/>
  <c r="K42" i="8"/>
  <c r="M52" i="8"/>
  <c r="K52" i="8"/>
  <c r="M43" i="8"/>
  <c r="K43" i="8"/>
  <c r="K61" i="8"/>
  <c r="M61" i="8"/>
  <c r="M56" i="8"/>
  <c r="K56" i="8"/>
  <c r="M48" i="8"/>
  <c r="K48" i="8"/>
  <c r="K32" i="8"/>
  <c r="M32" i="8"/>
  <c r="M44" i="8"/>
  <c r="K44" i="8"/>
  <c r="M36" i="8"/>
  <c r="K36" i="8"/>
  <c r="K57" i="8"/>
  <c r="M57" i="8"/>
  <c r="M47" i="8"/>
  <c r="K47" i="8"/>
  <c r="M33" i="8"/>
  <c r="K33" i="8"/>
  <c r="M34" i="8"/>
  <c r="K34" i="8"/>
  <c r="K53" i="8"/>
  <c r="M53" i="8"/>
  <c r="K49" i="8"/>
  <c r="M49" i="8"/>
  <c r="M46" i="8"/>
  <c r="K46" i="8"/>
  <c r="Y20" i="8"/>
  <c r="X17" i="8"/>
  <c r="AA19" i="8" s="1"/>
  <c r="M64" i="8" s="1"/>
  <c r="AA20" i="8"/>
  <c r="W18" i="8" s="1"/>
  <c r="W19" i="8" s="1"/>
  <c r="W20" i="8" s="1"/>
  <c r="W21" i="8" s="1"/>
  <c r="W22" i="8" s="1"/>
  <c r="W23" i="8" s="1"/>
  <c r="W24" i="8" s="1"/>
  <c r="W25" i="8" s="1"/>
  <c r="W26" i="8" s="1"/>
  <c r="W27" i="8" s="1"/>
  <c r="W28" i="8" s="1"/>
  <c r="W29" i="8" s="1"/>
  <c r="W30" i="8" s="1"/>
  <c r="Y19" i="8"/>
  <c r="K45" i="8"/>
  <c r="M45" i="8"/>
  <c r="M40" i="8"/>
  <c r="K40" i="8"/>
  <c r="M63" i="8"/>
  <c r="K63" i="8"/>
  <c r="K41" i="8"/>
  <c r="M41" i="8"/>
  <c r="M50" i="8"/>
  <c r="K50" i="8"/>
  <c r="M38" i="8"/>
  <c r="K38" i="8"/>
  <c r="M60" i="8"/>
  <c r="K60" i="8"/>
  <c r="M59" i="8"/>
  <c r="K59" i="8"/>
  <c r="M62" i="8"/>
  <c r="K62" i="8"/>
  <c r="M55" i="8"/>
  <c r="K55" i="8"/>
  <c r="M58" i="8"/>
  <c r="K58" i="8"/>
  <c r="M51" i="8"/>
  <c r="K51" i="8"/>
  <c r="M54" i="8"/>
  <c r="K54" i="8"/>
  <c r="M2" i="5"/>
  <c r="X17" i="4"/>
  <c r="AA19" i="4" s="1"/>
  <c r="N18" i="7"/>
  <c r="N19" i="7" s="1"/>
  <c r="N20" i="7" s="1"/>
  <c r="AA20" i="4"/>
  <c r="W18" i="4" s="1"/>
  <c r="W19" i="4" s="1"/>
  <c r="W20" i="4" s="1"/>
  <c r="W21" i="4" s="1"/>
  <c r="W22" i="4" s="1"/>
  <c r="W23" i="4" s="1"/>
  <c r="W24" i="4" s="1"/>
  <c r="W25" i="4" s="1"/>
  <c r="W26" i="4" s="1"/>
  <c r="W27" i="4" s="1"/>
  <c r="W28" i="4" s="1"/>
  <c r="W29" i="4" s="1"/>
  <c r="W30" i="4" s="1"/>
  <c r="W31" i="4" s="1"/>
  <c r="W32" i="4" s="1"/>
  <c r="W33" i="4" s="1"/>
  <c r="W34" i="4" s="1"/>
  <c r="W35" i="4" s="1"/>
  <c r="W36" i="4" s="1"/>
  <c r="W37" i="4" s="1"/>
  <c r="W38" i="4" s="1"/>
  <c r="W39" i="4" s="1"/>
  <c r="W40" i="4" s="1"/>
  <c r="W41" i="4" s="1"/>
  <c r="W42" i="4" s="1"/>
  <c r="W43" i="4" s="1"/>
  <c r="W44" i="4" s="1"/>
  <c r="W45" i="4" s="1"/>
  <c r="W46" i="4" s="1"/>
  <c r="W47" i="4" s="1"/>
  <c r="W48" i="4" s="1"/>
  <c r="W49" i="4" s="1"/>
  <c r="W50" i="4" s="1"/>
  <c r="W51" i="4" s="1"/>
  <c r="W52" i="4" s="1"/>
  <c r="W53" i="4" s="1"/>
  <c r="W54" i="4" s="1"/>
  <c r="W55" i="4" s="1"/>
  <c r="W56" i="4" s="1"/>
  <c r="W57" i="4" s="1"/>
  <c r="W58" i="4" s="1"/>
  <c r="W59" i="4" s="1"/>
  <c r="W60" i="4" s="1"/>
  <c r="W61" i="4" s="1"/>
  <c r="W62" i="4" s="1"/>
  <c r="O8" i="5"/>
  <c r="E8" i="7"/>
  <c r="O8" i="7" s="1"/>
  <c r="K58" i="4"/>
  <c r="M58" i="4"/>
  <c r="M52" i="4"/>
  <c r="K52" i="4"/>
  <c r="M45" i="4"/>
  <c r="K45" i="4"/>
  <c r="K42" i="4"/>
  <c r="M42" i="4"/>
  <c r="M54" i="4"/>
  <c r="K54" i="4"/>
  <c r="K48" i="4"/>
  <c r="M48" i="4"/>
  <c r="M39" i="4"/>
  <c r="K39" i="4"/>
  <c r="M47" i="4"/>
  <c r="K47" i="4"/>
  <c r="M62" i="4"/>
  <c r="K62" i="4"/>
  <c r="M43" i="4"/>
  <c r="K43" i="4"/>
  <c r="M56" i="4"/>
  <c r="K56" i="4"/>
  <c r="M49" i="4"/>
  <c r="K49" i="4"/>
  <c r="M41" i="4"/>
  <c r="K41" i="4"/>
  <c r="K55" i="4"/>
  <c r="M55" i="4"/>
  <c r="M57" i="4"/>
  <c r="K57" i="4"/>
  <c r="M53" i="4"/>
  <c r="K53" i="4"/>
  <c r="M51" i="4"/>
  <c r="K51" i="4"/>
  <c r="M63" i="4"/>
  <c r="K63" i="4"/>
  <c r="K38" i="4"/>
  <c r="M38" i="4"/>
  <c r="M44" i="4"/>
  <c r="K44" i="4"/>
  <c r="M60" i="4"/>
  <c r="K60" i="4"/>
  <c r="M61" i="4"/>
  <c r="K61" i="4"/>
  <c r="K46" i="4"/>
  <c r="M46" i="4"/>
  <c r="M40" i="4"/>
  <c r="K40" i="4"/>
  <c r="M50" i="4"/>
  <c r="K50" i="4"/>
  <c r="M59" i="4"/>
  <c r="K59" i="4"/>
  <c r="Y19" i="4"/>
  <c r="AL26" i="11" l="1"/>
  <c r="AH26" i="11"/>
  <c r="AD26" i="11"/>
  <c r="AF26" i="11" s="1"/>
  <c r="AG26" i="11" s="1"/>
  <c r="AA47" i="11"/>
  <c r="AA49" i="11" s="1"/>
  <c r="W31" i="8"/>
  <c r="M30" i="8"/>
  <c r="M64" i="4"/>
  <c r="L19" i="6" s="1"/>
  <c r="H52" i="2"/>
  <c r="E12" i="12"/>
  <c r="N12" i="12" s="1"/>
  <c r="E11" i="12"/>
  <c r="N11" i="12" s="1"/>
  <c r="E12" i="10"/>
  <c r="N12" i="10" s="1"/>
  <c r="E11" i="10"/>
  <c r="N11" i="10" s="1"/>
  <c r="E12" i="9"/>
  <c r="N12" i="9" s="1"/>
  <c r="E11" i="9"/>
  <c r="N11" i="9" s="1"/>
  <c r="E12" i="8"/>
  <c r="N12" i="8" s="1"/>
  <c r="E11" i="8"/>
  <c r="N11" i="8" s="1"/>
  <c r="B27" i="2"/>
  <c r="B28" i="2" s="1"/>
  <c r="B29" i="2" s="1"/>
  <c r="B30" i="2" s="1"/>
  <c r="B31" i="2" s="1"/>
  <c r="I44" i="2"/>
  <c r="P24" i="2"/>
  <c r="D9" i="2"/>
  <c r="C9" i="2"/>
  <c r="G11" i="2" s="1"/>
  <c r="D8" i="2"/>
  <c r="C8" i="2"/>
  <c r="G10" i="2" s="1"/>
  <c r="AI26" i="11" l="1"/>
  <c r="AM26" i="11"/>
  <c r="AN26" i="11" s="1"/>
  <c r="AE43" i="11"/>
  <c r="AE44" i="11" s="1"/>
  <c r="W32" i="8"/>
  <c r="W33" i="8" s="1"/>
  <c r="W34" i="8" s="1"/>
  <c r="W35" i="8" s="1"/>
  <c r="W36" i="8" s="1"/>
  <c r="W37" i="8" s="1"/>
  <c r="W38" i="8" s="1"/>
  <c r="W39" i="8" s="1"/>
  <c r="W40" i="8" s="1"/>
  <c r="W41" i="8" s="1"/>
  <c r="W42" i="8" s="1"/>
  <c r="W43" i="8" s="1"/>
  <c r="W44" i="8" s="1"/>
  <c r="W45" i="8" s="1"/>
  <c r="W46" i="8" s="1"/>
  <c r="W47" i="8" s="1"/>
  <c r="W48" i="8" s="1"/>
  <c r="W49" i="8" s="1"/>
  <c r="W50" i="8" s="1"/>
  <c r="W51" i="8" s="1"/>
  <c r="W52" i="8" s="1"/>
  <c r="W53" i="8" s="1"/>
  <c r="W54" i="8" s="1"/>
  <c r="W55" i="8" s="1"/>
  <c r="W56" i="8" s="1"/>
  <c r="W57" i="8" s="1"/>
  <c r="W58" i="8" s="1"/>
  <c r="W59" i="8" s="1"/>
  <c r="W60" i="8" s="1"/>
  <c r="W61" i="8" s="1"/>
  <c r="W62" i="8" s="1"/>
  <c r="M31" i="8"/>
  <c r="N30" i="9"/>
  <c r="N31" i="9"/>
  <c r="N31" i="10"/>
  <c r="N30" i="10"/>
  <c r="N12" i="4"/>
  <c r="E13" i="7"/>
  <c r="O13" i="7" s="1"/>
  <c r="E12" i="6"/>
  <c r="M12" i="6" s="1"/>
  <c r="E13" i="5"/>
  <c r="O13" i="5" s="1"/>
  <c r="E11" i="6"/>
  <c r="M11" i="6" s="1"/>
  <c r="E12" i="7"/>
  <c r="O12" i="7" s="1"/>
  <c r="E12" i="5"/>
  <c r="O12" i="5" s="1"/>
  <c r="N11" i="4"/>
  <c r="U30" i="14" l="1"/>
  <c r="U31" i="14"/>
  <c r="U29" i="14"/>
  <c r="U27" i="14"/>
  <c r="U28" i="14"/>
  <c r="AE45" i="11"/>
  <c r="AE46" i="11" s="1"/>
  <c r="AA48" i="11" s="1"/>
  <c r="AA51" i="11" s="1"/>
  <c r="K31" i="10"/>
  <c r="M31" i="10"/>
  <c r="K30" i="8"/>
  <c r="K31" i="8"/>
  <c r="K31" i="9"/>
  <c r="M31" i="9"/>
  <c r="M30" i="10"/>
  <c r="K30" i="10"/>
  <c r="M30" i="9"/>
  <c r="K30" i="9"/>
  <c r="V27" i="14" l="1"/>
  <c r="W27" i="14" s="1"/>
  <c r="X27" i="14" s="1"/>
  <c r="V30" i="14"/>
  <c r="W30" i="14" s="1"/>
  <c r="X30" i="14" s="1"/>
  <c r="V31" i="14"/>
  <c r="W31" i="14" s="1"/>
  <c r="X31" i="14" s="1"/>
  <c r="V28" i="14"/>
  <c r="W28" i="14" s="1"/>
  <c r="V29" i="14"/>
  <c r="W29" i="14" s="1"/>
  <c r="AA43" i="11"/>
  <c r="AA52" i="11"/>
  <c r="AA54" i="11" s="1"/>
  <c r="AA56" i="11" s="1"/>
  <c r="AA57" i="11" s="1"/>
  <c r="I45" i="2"/>
  <c r="X29" i="14" l="1"/>
  <c r="Y29" i="14" s="1"/>
  <c r="X28" i="14"/>
  <c r="Y28" i="14" s="1"/>
  <c r="Y31" i="14"/>
  <c r="AD42" i="14" s="1"/>
  <c r="AF42" i="14" s="1"/>
  <c r="Y30" i="14"/>
  <c r="Y27" i="14"/>
  <c r="U28" i="11"/>
  <c r="V28" i="11" s="1"/>
  <c r="U31" i="11"/>
  <c r="V31" i="11" s="1"/>
  <c r="U27" i="11"/>
  <c r="V27" i="11" s="1"/>
  <c r="U30" i="11"/>
  <c r="V30" i="11" s="1"/>
  <c r="U29" i="11"/>
  <c r="V29" i="11" s="1"/>
  <c r="I46" i="2"/>
  <c r="AH42" i="14" l="1"/>
  <c r="AF43" i="14"/>
  <c r="AF44" i="14" s="1"/>
  <c r="AF45" i="14" s="1"/>
  <c r="AF46" i="14" s="1"/>
  <c r="Z29" i="14"/>
  <c r="AB29" i="14" s="1"/>
  <c r="Z28" i="14"/>
  <c r="Z31" i="14"/>
  <c r="Z30" i="14"/>
  <c r="Z27" i="14"/>
  <c r="W29" i="11"/>
  <c r="X29" i="11" s="1"/>
  <c r="W30" i="11"/>
  <c r="X30" i="11" s="1"/>
  <c r="W27" i="11"/>
  <c r="X27" i="11" s="1"/>
  <c r="W31" i="11"/>
  <c r="X31" i="11" s="1"/>
  <c r="W28" i="11"/>
  <c r="X28" i="11" s="1"/>
  <c r="I47" i="2"/>
  <c r="AB31" i="14" l="1"/>
  <c r="AD44" i="14" s="1"/>
  <c r="AD43" i="14"/>
  <c r="AJ42" i="14"/>
  <c r="AJ44" i="14" s="1"/>
  <c r="AH43" i="14"/>
  <c r="AH44" i="14" s="1"/>
  <c r="AH45" i="14" s="1"/>
  <c r="AH46" i="14" s="1"/>
  <c r="AB28" i="14"/>
  <c r="AC28" i="14" s="1"/>
  <c r="AE28" i="14" s="1"/>
  <c r="AG28" i="14" s="1"/>
  <c r="AB30" i="14"/>
  <c r="AC30" i="14" s="1"/>
  <c r="AE30" i="14" s="1"/>
  <c r="AG30" i="14" s="1"/>
  <c r="AH29" i="14"/>
  <c r="AC29" i="14"/>
  <c r="AE29" i="14" s="1"/>
  <c r="AG29" i="14" s="1"/>
  <c r="AL29" i="14"/>
  <c r="AL31" i="14"/>
  <c r="AH31" i="14"/>
  <c r="AC31" i="14"/>
  <c r="AE31" i="14" s="1"/>
  <c r="AG31" i="14" s="1"/>
  <c r="AL30" i="14"/>
  <c r="Y31" i="11"/>
  <c r="Z31" i="11" s="1"/>
  <c r="F15" i="12" s="1"/>
  <c r="F16" i="12" s="1"/>
  <c r="F17" i="12" s="1"/>
  <c r="Y28" i="11"/>
  <c r="Z28" i="11" s="1"/>
  <c r="Y27" i="11"/>
  <c r="Z27" i="11" s="1"/>
  <c r="Y30" i="11"/>
  <c r="Z30" i="11" s="1"/>
  <c r="Y29" i="11"/>
  <c r="Z29" i="11" s="1"/>
  <c r="I49" i="2"/>
  <c r="L43" i="2" s="1"/>
  <c r="L44" i="2" s="1"/>
  <c r="AJ45" i="14" l="1"/>
  <c r="AJ46" i="14"/>
  <c r="AM29" i="14"/>
  <c r="AN29" i="14" s="1"/>
  <c r="AM31" i="14"/>
  <c r="AN31" i="14" s="1"/>
  <c r="AH28" i="14"/>
  <c r="AM28" i="14" s="1"/>
  <c r="AH30" i="14"/>
  <c r="AM30" i="14" s="1"/>
  <c r="AN30" i="14" s="1"/>
  <c r="AL28" i="14"/>
  <c r="AI29" i="14"/>
  <c r="AI31" i="14"/>
  <c r="A239" i="12"/>
  <c r="F19" i="12"/>
  <c r="F20" i="12"/>
  <c r="C1" i="12"/>
  <c r="AB27" i="11"/>
  <c r="AA27" i="11"/>
  <c r="AC27" i="11" s="1"/>
  <c r="AL27" i="11" s="1"/>
  <c r="AA31" i="11"/>
  <c r="AC31" i="11" s="1"/>
  <c r="AL31" i="11" s="1"/>
  <c r="AB31" i="11"/>
  <c r="AA29" i="11"/>
  <c r="AC29" i="11" s="1"/>
  <c r="AL29" i="11" s="1"/>
  <c r="AB29" i="11"/>
  <c r="AB28" i="11"/>
  <c r="AA28" i="11"/>
  <c r="AC28" i="11" s="1"/>
  <c r="AL28" i="11" s="1"/>
  <c r="AA30" i="11"/>
  <c r="AC30" i="11" s="1"/>
  <c r="AL30" i="11" s="1"/>
  <c r="AB30" i="11"/>
  <c r="L45" i="2"/>
  <c r="L46" i="2" s="1"/>
  <c r="I48" i="2" s="1"/>
  <c r="I51" i="2" s="1"/>
  <c r="AI30" i="14" l="1"/>
  <c r="AI28" i="14"/>
  <c r="AN28" i="14"/>
  <c r="F22" i="12"/>
  <c r="F31" i="12" s="1"/>
  <c r="AH28" i="11"/>
  <c r="AD28" i="11"/>
  <c r="AF28" i="11" s="1"/>
  <c r="AG28" i="11" s="1"/>
  <c r="AD27" i="11"/>
  <c r="AF27" i="11" s="1"/>
  <c r="AG27" i="11" s="1"/>
  <c r="AH27" i="11"/>
  <c r="AD30" i="11"/>
  <c r="AF30" i="11" s="1"/>
  <c r="AG30" i="11" s="1"/>
  <c r="AH30" i="11"/>
  <c r="AH31" i="11"/>
  <c r="AD31" i="11"/>
  <c r="AF31" i="11" s="1"/>
  <c r="AG31" i="11" s="1"/>
  <c r="AH29" i="11"/>
  <c r="AD29" i="11"/>
  <c r="AF29" i="11" s="1"/>
  <c r="AG29" i="11" s="1"/>
  <c r="I43" i="2"/>
  <c r="I52" i="2"/>
  <c r="I54" i="2" s="1"/>
  <c r="I56" i="2" s="1"/>
  <c r="I57" i="2" s="1"/>
  <c r="F24" i="12" l="1"/>
  <c r="F27" i="12" s="1"/>
  <c r="F29" i="12" s="1"/>
  <c r="N64" i="12"/>
  <c r="E36" i="12"/>
  <c r="F36" i="12" s="1"/>
  <c r="E38" i="12"/>
  <c r="F38" i="12" s="1"/>
  <c r="E37" i="12"/>
  <c r="F37" i="12" s="1"/>
  <c r="N22" i="12"/>
  <c r="N25" i="12"/>
  <c r="N19" i="12"/>
  <c r="N20" i="12"/>
  <c r="N28" i="12"/>
  <c r="N23" i="12"/>
  <c r="N24" i="12"/>
  <c r="N18" i="12"/>
  <c r="N26" i="12"/>
  <c r="N29" i="12"/>
  <c r="N27" i="12"/>
  <c r="N21" i="12"/>
  <c r="AI29" i="11"/>
  <c r="AM29" i="11"/>
  <c r="AN29" i="11" s="1"/>
  <c r="AI31" i="11"/>
  <c r="AM31" i="11"/>
  <c r="AN31" i="11" s="1"/>
  <c r="AI30" i="11"/>
  <c r="AM30" i="11"/>
  <c r="AN30" i="11" s="1"/>
  <c r="AI27" i="11"/>
  <c r="AM27" i="11"/>
  <c r="AN27" i="11" s="1"/>
  <c r="AI28" i="11"/>
  <c r="AM28" i="11"/>
  <c r="AN28" i="11" s="1"/>
  <c r="K29" i="12" l="1"/>
  <c r="M29" i="12"/>
  <c r="K26" i="12"/>
  <c r="M26" i="12"/>
  <c r="M18" i="12"/>
  <c r="K18" i="12"/>
  <c r="K19" i="12"/>
  <c r="M19" i="12"/>
  <c r="M23" i="12"/>
  <c r="K23" i="12"/>
  <c r="M21" i="12"/>
  <c r="K21" i="12"/>
  <c r="K28" i="12"/>
  <c r="M28" i="12"/>
  <c r="M25" i="12"/>
  <c r="K25" i="12"/>
  <c r="M20" i="12"/>
  <c r="K20" i="12"/>
  <c r="M27" i="12"/>
  <c r="K27" i="12"/>
  <c r="K24" i="12"/>
  <c r="M24" i="12"/>
  <c r="M22" i="12"/>
  <c r="K22" i="12"/>
  <c r="F15" i="10" l="1"/>
  <c r="F15" i="8"/>
  <c r="F15" i="9"/>
  <c r="A239" i="9" l="1"/>
  <c r="C1" i="9"/>
  <c r="F17" i="9"/>
  <c r="F19" i="9" s="1"/>
  <c r="F20" i="9"/>
  <c r="A239" i="8"/>
  <c r="C1" i="8"/>
  <c r="F17" i="8"/>
  <c r="F19" i="8" s="1"/>
  <c r="F20" i="8"/>
  <c r="A239" i="10"/>
  <c r="F17" i="10"/>
  <c r="F20" i="10"/>
  <c r="C1" i="10"/>
  <c r="I29" i="2"/>
  <c r="J29" i="2" s="1"/>
  <c r="I28" i="2"/>
  <c r="J28" i="2" s="1"/>
  <c r="I27" i="2"/>
  <c r="J27" i="2" s="1"/>
  <c r="I31" i="2"/>
  <c r="J31" i="2" s="1"/>
  <c r="I30" i="2"/>
  <c r="J30" i="2" s="1"/>
  <c r="F22" i="9" l="1"/>
  <c r="F31" i="9" s="1"/>
  <c r="F19" i="10"/>
  <c r="F22" i="10" s="1"/>
  <c r="F22" i="8"/>
  <c r="K27" i="2"/>
  <c r="M27" i="2" s="1"/>
  <c r="O27" i="2" s="1"/>
  <c r="P27" i="2"/>
  <c r="Q27" i="2" s="1"/>
  <c r="P31" i="2"/>
  <c r="Q31" i="2" s="1"/>
  <c r="K31" i="2"/>
  <c r="M31" i="2" s="1"/>
  <c r="O31" i="2" s="1"/>
  <c r="P29" i="2"/>
  <c r="Q29" i="2" s="1"/>
  <c r="K29" i="2"/>
  <c r="M29" i="2" s="1"/>
  <c r="O29" i="2" s="1"/>
  <c r="P30" i="2"/>
  <c r="Q30" i="2" s="1"/>
  <c r="K30" i="2"/>
  <c r="M30" i="2" s="1"/>
  <c r="O30" i="2" s="1"/>
  <c r="P28" i="2"/>
  <c r="Q28" i="2" s="1"/>
  <c r="K28" i="2"/>
  <c r="M28" i="2" s="1"/>
  <c r="O28" i="2" s="1"/>
  <c r="F24" i="9" l="1"/>
  <c r="F27" i="9" s="1"/>
  <c r="F29" i="9" s="1"/>
  <c r="N19" i="9" s="1"/>
  <c r="F24" i="10"/>
  <c r="F27" i="10" s="1"/>
  <c r="F29" i="10" s="1"/>
  <c r="F31" i="10"/>
  <c r="N64" i="9"/>
  <c r="E37" i="9"/>
  <c r="F37" i="9" s="1"/>
  <c r="E38" i="9"/>
  <c r="F38" i="9" s="1"/>
  <c r="E36" i="9"/>
  <c r="F36" i="9" s="1"/>
  <c r="F24" i="8"/>
  <c r="F27" i="8" s="1"/>
  <c r="F29" i="8" s="1"/>
  <c r="F31" i="8"/>
  <c r="N26" i="9"/>
  <c r="N25" i="9"/>
  <c r="N24" i="9"/>
  <c r="N27" i="9"/>
  <c r="N29" i="9"/>
  <c r="N28" i="9"/>
  <c r="N35" i="4"/>
  <c r="N33" i="4"/>
  <c r="N32" i="4"/>
  <c r="N31" i="4"/>
  <c r="N37" i="4"/>
  <c r="N30" i="4"/>
  <c r="N34" i="4"/>
  <c r="N36" i="4"/>
  <c r="N23" i="9" l="1"/>
  <c r="M23" i="9" s="1"/>
  <c r="N22" i="9"/>
  <c r="N20" i="9"/>
  <c r="N18" i="9"/>
  <c r="N21" i="9"/>
  <c r="M21" i="9" s="1"/>
  <c r="K23" i="9"/>
  <c r="K19" i="9"/>
  <c r="M19" i="9"/>
  <c r="M25" i="9"/>
  <c r="K25" i="9"/>
  <c r="N64" i="8"/>
  <c r="E37" i="8"/>
  <c r="F37" i="8" s="1"/>
  <c r="E36" i="8"/>
  <c r="F36" i="8" s="1"/>
  <c r="E38" i="8"/>
  <c r="F38" i="8" s="1"/>
  <c r="M27" i="9"/>
  <c r="K27" i="9"/>
  <c r="N25" i="8"/>
  <c r="N20" i="8"/>
  <c r="N21" i="8"/>
  <c r="N22" i="8"/>
  <c r="N24" i="8"/>
  <c r="N18" i="8"/>
  <c r="N29" i="8"/>
  <c r="N27" i="8"/>
  <c r="N23" i="8"/>
  <c r="N28" i="8"/>
  <c r="N26" i="8"/>
  <c r="N19" i="8"/>
  <c r="K24" i="9"/>
  <c r="M24" i="9"/>
  <c r="K26" i="9"/>
  <c r="M26" i="9"/>
  <c r="M22" i="9"/>
  <c r="K22" i="9"/>
  <c r="K20" i="9"/>
  <c r="M20" i="9"/>
  <c r="M18" i="9"/>
  <c r="K18" i="9"/>
  <c r="M28" i="9"/>
  <c r="K28" i="9"/>
  <c r="N64" i="10"/>
  <c r="E36" i="10"/>
  <c r="F36" i="10" s="1"/>
  <c r="E38" i="10"/>
  <c r="F38" i="10" s="1"/>
  <c r="E37" i="10"/>
  <c r="F37" i="10" s="1"/>
  <c r="M29" i="9"/>
  <c r="K29" i="9"/>
  <c r="N20" i="10"/>
  <c r="N27" i="10"/>
  <c r="N21" i="10"/>
  <c r="N26" i="10"/>
  <c r="N18" i="10"/>
  <c r="N25" i="10"/>
  <c r="N19" i="10"/>
  <c r="N24" i="10"/>
  <c r="N23" i="10"/>
  <c r="N22" i="10"/>
  <c r="N29" i="10"/>
  <c r="N28" i="10"/>
  <c r="K32" i="4"/>
  <c r="M32" i="4"/>
  <c r="K35" i="4"/>
  <c r="M35" i="4"/>
  <c r="M34" i="4"/>
  <c r="K34" i="4"/>
  <c r="M30" i="4"/>
  <c r="K30" i="4"/>
  <c r="K33" i="4"/>
  <c r="M33" i="4"/>
  <c r="M37" i="4"/>
  <c r="K37" i="4"/>
  <c r="K36" i="4"/>
  <c r="M36" i="4"/>
  <c r="M31" i="4"/>
  <c r="K31" i="4"/>
  <c r="K21" i="9" l="1"/>
  <c r="K20" i="8"/>
  <c r="M20" i="8"/>
  <c r="K28" i="10"/>
  <c r="M28" i="10"/>
  <c r="K19" i="8"/>
  <c r="M19" i="8"/>
  <c r="M26" i="8"/>
  <c r="K26" i="8"/>
  <c r="K20" i="10"/>
  <c r="M20" i="10"/>
  <c r="M22" i="10"/>
  <c r="K22" i="10"/>
  <c r="K28" i="8"/>
  <c r="M28" i="8"/>
  <c r="M23" i="10"/>
  <c r="K23" i="10"/>
  <c r="M23" i="8"/>
  <c r="K23" i="8"/>
  <c r="K25" i="8"/>
  <c r="M25" i="8"/>
  <c r="K24" i="10"/>
  <c r="M24" i="10"/>
  <c r="K27" i="8"/>
  <c r="M27" i="8"/>
  <c r="K27" i="10"/>
  <c r="M27" i="10"/>
  <c r="M19" i="10"/>
  <c r="K19" i="10"/>
  <c r="M29" i="8"/>
  <c r="K29" i="8"/>
  <c r="K25" i="10"/>
  <c r="M25" i="10"/>
  <c r="M18" i="8"/>
  <c r="K18" i="8"/>
  <c r="M18" i="10"/>
  <c r="K18" i="10"/>
  <c r="K24" i="8"/>
  <c r="M24" i="8"/>
  <c r="M29" i="10"/>
  <c r="K29" i="10"/>
  <c r="K26" i="10"/>
  <c r="M26" i="10"/>
  <c r="K22" i="8"/>
  <c r="M22" i="8"/>
  <c r="M21" i="10"/>
  <c r="K21" i="10"/>
  <c r="M21" i="8"/>
  <c r="K21" i="8"/>
  <c r="M26" i="14"/>
  <c r="N26" i="14" s="1"/>
  <c r="O26" i="14" s="1"/>
  <c r="P26" i="14" l="1"/>
  <c r="Q26" i="14" s="1"/>
  <c r="S26" i="14" s="1"/>
  <c r="U26" i="14" s="1"/>
  <c r="V26" i="14" l="1"/>
  <c r="W26" i="14" s="1"/>
  <c r="X26" i="14" s="1"/>
  <c r="AB27" i="14"/>
  <c r="AH27" i="14" s="1"/>
  <c r="Y26" i="14" l="1"/>
  <c r="Y33" i="14" s="1"/>
  <c r="AI27" i="14"/>
  <c r="AL27" i="14"/>
  <c r="AC27" i="14"/>
  <c r="AE27" i="14" s="1"/>
  <c r="AG27" i="14" l="1"/>
  <c r="AM27" i="14" s="1"/>
  <c r="AN27" i="14" s="1"/>
  <c r="F15" i="4"/>
  <c r="Z26" i="14"/>
  <c r="F16" i="4" l="1"/>
  <c r="C1" i="4" s="1"/>
  <c r="A239" i="4"/>
  <c r="F16" i="5"/>
  <c r="F20" i="4"/>
  <c r="F15" i="6"/>
  <c r="F16" i="7"/>
  <c r="AB26" i="14"/>
  <c r="AC26" i="14" s="1"/>
  <c r="AE26" i="14" s="1"/>
  <c r="AG26" i="14" s="1"/>
  <c r="I26" i="2"/>
  <c r="J26" i="2" s="1"/>
  <c r="P26" i="2" s="1"/>
  <c r="AH26" i="14"/>
  <c r="F17" i="4" l="1"/>
  <c r="F19" i="4" s="1"/>
  <c r="F22" i="7"/>
  <c r="F17" i="7"/>
  <c r="F19" i="7" s="1"/>
  <c r="F22" i="5"/>
  <c r="F17" i="5"/>
  <c r="F19" i="5" s="1"/>
  <c r="F20" i="6"/>
  <c r="F17" i="6"/>
  <c r="AL26" i="14"/>
  <c r="AM26" i="14"/>
  <c r="AN26" i="14" s="1"/>
  <c r="Q26" i="2"/>
  <c r="K26" i="2"/>
  <c r="M26" i="2" s="1"/>
  <c r="O26" i="2" s="1"/>
  <c r="AI26" i="14"/>
  <c r="F22" i="4" l="1"/>
  <c r="F19" i="6"/>
  <c r="E22" i="6" s="1"/>
  <c r="F27" i="6"/>
  <c r="A44" i="5"/>
  <c r="F21" i="5"/>
  <c r="F24" i="5" s="1"/>
  <c r="F26" i="5" s="1"/>
  <c r="F28" i="5" s="1"/>
  <c r="O19" i="5" s="1"/>
  <c r="A42" i="5"/>
  <c r="A45" i="7"/>
  <c r="A43" i="7"/>
  <c r="F21" i="7"/>
  <c r="F24" i="7" s="1"/>
  <c r="F26" i="7" s="1"/>
  <c r="F28" i="7" s="1"/>
  <c r="F30" i="7" s="1"/>
  <c r="F24" i="4" l="1"/>
  <c r="F27" i="4" s="1"/>
  <c r="F29" i="4" s="1"/>
  <c r="F31" i="4"/>
  <c r="F31" i="7"/>
  <c r="O20" i="7" s="1"/>
  <c r="O19" i="7"/>
  <c r="F31" i="6"/>
  <c r="F25" i="6"/>
  <c r="F29" i="6" s="1"/>
  <c r="M18" i="6" s="1"/>
  <c r="E38" i="4" l="1"/>
  <c r="F38" i="4" s="1"/>
  <c r="E36" i="4"/>
  <c r="F36" i="4" s="1"/>
  <c r="E37" i="4"/>
  <c r="F37" i="4" s="1"/>
  <c r="N64" i="4"/>
  <c r="N25" i="4"/>
  <c r="N23" i="4"/>
  <c r="N19" i="4"/>
  <c r="N24" i="4"/>
  <c r="N27" i="4"/>
  <c r="N26" i="4"/>
  <c r="N28" i="4"/>
  <c r="N18" i="4"/>
  <c r="N21" i="4"/>
  <c r="N29" i="4"/>
  <c r="N22" i="4"/>
  <c r="N20" i="4"/>
  <c r="E39" i="6"/>
  <c r="F39" i="6" s="1"/>
  <c r="E37" i="6"/>
  <c r="F37" i="6" s="1"/>
  <c r="E38" i="6"/>
  <c r="F38" i="6" s="1"/>
  <c r="M19" i="6"/>
  <c r="M27" i="4" l="1"/>
  <c r="K27" i="4"/>
  <c r="M20" i="4"/>
  <c r="K20" i="4"/>
  <c r="M24" i="4"/>
  <c r="K24" i="4"/>
  <c r="K19" i="4"/>
  <c r="M19" i="4"/>
  <c r="K29" i="4"/>
  <c r="M29" i="4"/>
  <c r="K23" i="4"/>
  <c r="M23" i="4"/>
  <c r="M21" i="4"/>
  <c r="K21" i="4"/>
  <c r="K25" i="4"/>
  <c r="M25" i="4"/>
  <c r="M18" i="4"/>
  <c r="K18" i="4"/>
  <c r="K28" i="4"/>
  <c r="M28" i="4"/>
  <c r="K22" i="4"/>
  <c r="M22" i="4"/>
  <c r="K26" i="4"/>
  <c r="M26" i="4"/>
</calcChain>
</file>

<file path=xl/sharedStrings.xml><?xml version="1.0" encoding="utf-8"?>
<sst xmlns="http://schemas.openxmlformats.org/spreadsheetml/2006/main" count="1264" uniqueCount="207">
  <si>
    <t>Project Details</t>
  </si>
  <si>
    <t>PRICELIST AS OF JULY 31, 2019</t>
  </si>
  <si>
    <t>Packages</t>
  </si>
  <si>
    <t>FLOOR AREA</t>
  </si>
  <si>
    <t>PER SQM.</t>
  </si>
  <si>
    <t>2 STOREY</t>
  </si>
  <si>
    <t>3 STOREY</t>
  </si>
  <si>
    <t>GROSS AREA</t>
  </si>
  <si>
    <t>Loose Lot/SQM:</t>
  </si>
  <si>
    <t>Additives</t>
  </si>
  <si>
    <t>Facing East</t>
  </si>
  <si>
    <t>Terraces Commonwealth Townhouse</t>
  </si>
  <si>
    <t>Dart Street, Commonwealth, Quezon City</t>
  </si>
  <si>
    <t>Price list as of May 3, 2021</t>
  </si>
  <si>
    <t>02-20-21</t>
  </si>
  <si>
    <t>Price / sqm</t>
  </si>
  <si>
    <t>INTERNAL</t>
  </si>
  <si>
    <t>Unit Count</t>
  </si>
  <si>
    <t>UNIT ID</t>
  </si>
  <si>
    <t>STATUS</t>
  </si>
  <si>
    <t>House Type</t>
  </si>
  <si>
    <t>Lot Type</t>
  </si>
  <si>
    <t>Total Area</t>
  </si>
  <si>
    <t>Price/ sqm</t>
  </si>
  <si>
    <t>Base price</t>
  </si>
  <si>
    <t>Front</t>
  </si>
  <si>
    <t>End</t>
  </si>
  <si>
    <t>total additives</t>
  </si>
  <si>
    <t>Typical Selling Price</t>
  </si>
  <si>
    <t>CGT of 6% is tucked in on LMF</t>
  </si>
  <si>
    <t>Total Selling Price</t>
  </si>
  <si>
    <t>NEW SELLING PRICE</t>
  </si>
  <si>
    <t>TOTAL CONTRACT PRICE</t>
  </si>
  <si>
    <t>RESERVATION FEE</t>
  </si>
  <si>
    <t>NET EQUITY PAYMENT</t>
  </si>
  <si>
    <t>Monthly Amort.</t>
  </si>
  <si>
    <t>COUNTER CHECKING</t>
  </si>
  <si>
    <t>INCREASE 1</t>
  </si>
  <si>
    <t>INCREASE 2</t>
  </si>
  <si>
    <t>DISCOUNT</t>
  </si>
  <si>
    <t>Variance from Unit A</t>
  </si>
  <si>
    <t>INCREASE 4</t>
  </si>
  <si>
    <t>INCREASE 5</t>
  </si>
  <si>
    <t>Legal and Misc. Fees</t>
  </si>
  <si>
    <t>Bank Fees</t>
  </si>
  <si>
    <t>EQUITY DOWN PAYMENT</t>
  </si>
  <si>
    <t>MONTHLY EQUITY</t>
  </si>
  <si>
    <t>BALANCE ON TCP</t>
  </si>
  <si>
    <t>15 years 
@8.0%
5 year fixing</t>
  </si>
  <si>
    <t>TCP</t>
  </si>
  <si>
    <t>WORKBACK COMPUTATION</t>
  </si>
  <si>
    <t>VARIANCE</t>
  </si>
  <si>
    <t>Unit A</t>
  </si>
  <si>
    <t>SOLD</t>
  </si>
  <si>
    <t>Front with own garage gate</t>
  </si>
  <si>
    <t>Unit B</t>
  </si>
  <si>
    <t>UNSOLD</t>
  </si>
  <si>
    <t>Middle</t>
  </si>
  <si>
    <t>Unit C</t>
  </si>
  <si>
    <t>Back with additional parking</t>
  </si>
  <si>
    <t>Unit D</t>
  </si>
  <si>
    <t>Unit E</t>
  </si>
  <si>
    <t>Unit F</t>
  </si>
  <si>
    <t xml:space="preserve">NOTE: </t>
  </si>
  <si>
    <t xml:space="preserve">***Reservation Fee is non-refundable. </t>
  </si>
  <si>
    <t>***Prices and Payment Schemes may change without prior notice.</t>
  </si>
  <si>
    <t>***Official Selling Price shall be based on signed/approved Reservation Agreement Forms.</t>
  </si>
  <si>
    <t>***Check Payable to Cesar Lee Hiong L. Wee Jr. or Carson T. Choa and Theresa S. Nery</t>
  </si>
  <si>
    <t>commission off setting</t>
  </si>
  <si>
    <t>Per SQM</t>
  </si>
  <si>
    <t>NET SELLING PRICE</t>
  </si>
  <si>
    <t>Commission 5%</t>
  </si>
  <si>
    <t>(-) 10% W/Tax</t>
  </si>
  <si>
    <t>Net Commission</t>
  </si>
  <si>
    <t>New Selling Price</t>
  </si>
  <si>
    <t>Total Contract Price</t>
  </si>
  <si>
    <t>Price list as of September 2025</t>
  </si>
  <si>
    <t>NSP/SQM</t>
  </si>
  <si>
    <t>EQUITY MONTHS</t>
  </si>
  <si>
    <t>HOLD</t>
  </si>
  <si>
    <t>3 Floors Front with own garage gate</t>
  </si>
  <si>
    <t>3 Floors Middle</t>
  </si>
  <si>
    <t>3 Floors Rear</t>
  </si>
  <si>
    <t>Rear</t>
  </si>
  <si>
    <t>NSP</t>
  </si>
  <si>
    <t>TSP</t>
  </si>
  <si>
    <t>LMF</t>
  </si>
  <si>
    <t>Price list as of August 2024</t>
  </si>
  <si>
    <t>Price list as of September 23, 2025</t>
  </si>
  <si>
    <t>UNIT COUNT</t>
  </si>
  <si>
    <t>HOUSE TYPE</t>
  </si>
  <si>
    <t>LOT TYPE</t>
  </si>
  <si>
    <t>TOTAL AREA</t>
  </si>
  <si>
    <t>( + ) LEGAL AND MISCS. FEES</t>
  </si>
  <si>
    <t>DATE :</t>
  </si>
  <si>
    <t>PAGE</t>
  </si>
  <si>
    <t>1 of 2</t>
  </si>
  <si>
    <t xml:space="preserve">PAGE </t>
  </si>
  <si>
    <t>2 of 2</t>
  </si>
  <si>
    <t>STANDARD PACKAGE COMPUTATION</t>
  </si>
  <si>
    <t>PAYMENT SCHEDULE</t>
  </si>
  <si>
    <t>CLIENT'S NAME</t>
  </si>
  <si>
    <t>:</t>
  </si>
  <si>
    <t>PROJECT NAME</t>
  </si>
  <si>
    <t>UNIT NUMBER</t>
  </si>
  <si>
    <t>UNIT TYPE</t>
  </si>
  <si>
    <t>LOT AREA</t>
  </si>
  <si>
    <t>SQM.</t>
  </si>
  <si>
    <t>LIVEABLE AREA</t>
  </si>
  <si>
    <t>BALCONY AREA</t>
  </si>
  <si>
    <t>TOTAL SELLING PRICE</t>
  </si>
  <si>
    <t>PARTICULARS</t>
  </si>
  <si>
    <t>DATE</t>
  </si>
  <si>
    <t>AMOUNT</t>
  </si>
  <si>
    <t>REMARKS</t>
  </si>
  <si>
    <t>Less: Promo Discount on TSP</t>
  </si>
  <si>
    <t>1st EQUITY PAYMENT</t>
  </si>
  <si>
    <t>31st of the month</t>
  </si>
  <si>
    <t>Add: VAT</t>
  </si>
  <si>
    <t>2nd EQUITY PAYMENT</t>
  </si>
  <si>
    <t>balance</t>
  </si>
  <si>
    <t>Add: Legal &amp; Misc. Fees</t>
  </si>
  <si>
    <t>3rd EQUITY PAYMENT</t>
  </si>
  <si>
    <t>equity</t>
  </si>
  <si>
    <t>4th EQUITY PAYMENT</t>
  </si>
  <si>
    <t>5th EQUITY PAYMENT</t>
  </si>
  <si>
    <t>6th EQUITY PAYMENT</t>
  </si>
  <si>
    <t>Equity down Payment</t>
  </si>
  <si>
    <t>7th EQUITY PAYMENT</t>
  </si>
  <si>
    <t xml:space="preserve">less: Promo Discount on Equity </t>
  </si>
  <si>
    <t>8th EQUITY PAYMENT</t>
  </si>
  <si>
    <t>less: Reservation Fee</t>
  </si>
  <si>
    <t>9th EQUITY PAYMENT</t>
  </si>
  <si>
    <t>Net  Equity Payment</t>
  </si>
  <si>
    <t>10th EQUITY PAYMENT</t>
  </si>
  <si>
    <t>11th EQUITY PAYMENT</t>
  </si>
  <si>
    <t xml:space="preserve"> Monthly Equity</t>
  </si>
  <si>
    <t>12th EQUITY PAYMENT</t>
  </si>
  <si>
    <t>13th EQUITY PAYMENT</t>
  </si>
  <si>
    <t>FULL BALANCE (TCP)</t>
  </si>
  <si>
    <t>14th EQUITY PAYMENT</t>
  </si>
  <si>
    <t>15th EQUITY PAYMENT</t>
  </si>
  <si>
    <t>Estimated Monthly Amortization</t>
  </si>
  <si>
    <t>16th EQUITY PAYMENT</t>
  </si>
  <si>
    <t>17th EQUITY PAYMENT</t>
  </si>
  <si>
    <t>Term</t>
  </si>
  <si>
    <t>Interest Rate</t>
  </si>
  <si>
    <t>Factor Rate</t>
  </si>
  <si>
    <t>Amount</t>
  </si>
  <si>
    <t>Income Requirement</t>
  </si>
  <si>
    <t>18th EQUITY PAYMENT</t>
  </si>
  <si>
    <t>19th EQUITY PAYMENT</t>
  </si>
  <si>
    <t>20th EQUITY PAYMENT</t>
  </si>
  <si>
    <t>21st EQUITY PAYMENT</t>
  </si>
  <si>
    <t>Fixed for five (5) years</t>
  </si>
  <si>
    <t>22nd EQUITY PAYMENT</t>
  </si>
  <si>
    <t>Sample Computation for Interest rate is at 8% fixed for five (5) years only</t>
  </si>
  <si>
    <t>23rd EQUITY PAYMENT</t>
  </si>
  <si>
    <t>A. Prices are subject to change without prior notice.</t>
  </si>
  <si>
    <t>24th EQUITY PAYMENT</t>
  </si>
  <si>
    <t>B. Bank Fees rates may vary per bank.</t>
  </si>
  <si>
    <t>25th EQUITY PAYMENT</t>
  </si>
  <si>
    <t>26th EQUITY PAYMENT</t>
  </si>
  <si>
    <t>APPLICABLE PROMO/DISCOUNTS</t>
  </si>
  <si>
    <t>27th EQUITY PAYMENT</t>
  </si>
  <si>
    <t>28th EQUITY PAYMENT</t>
  </si>
  <si>
    <t>29th EQUITY PAYMENT</t>
  </si>
  <si>
    <t>30th EQUITY PAYMENT</t>
  </si>
  <si>
    <t>31st EQUITY PAYMENT</t>
  </si>
  <si>
    <t>32nd EQUITY PAYMENT</t>
  </si>
  <si>
    <t>33rd EQUITY PAYMENT</t>
  </si>
  <si>
    <t>34th EQUITY PAYMENT</t>
  </si>
  <si>
    <t>35th EQUITY PAYMENT</t>
  </si>
  <si>
    <t>36th EQUITY PAYMENT</t>
  </si>
  <si>
    <t>37th EQUITY PAYMENT</t>
  </si>
  <si>
    <t>38th EQUITY PAYMENT</t>
  </si>
  <si>
    <t>39th EQUITY PAYMENT</t>
  </si>
  <si>
    <t>40th EQUITY PAYMENT</t>
  </si>
  <si>
    <t>41st EQUITY PAYMENT</t>
  </si>
  <si>
    <t>42nd EQUITY PAYMENT</t>
  </si>
  <si>
    <t>43rd EQUITY PAYMENT</t>
  </si>
  <si>
    <t>44th EQUITY PAYMENT</t>
  </si>
  <si>
    <t>45th EQUITY PAYMENT</t>
  </si>
  <si>
    <t>46th EQUITY PAYMENT</t>
  </si>
  <si>
    <t>BALANCE</t>
  </si>
  <si>
    <t>Prepared by:</t>
  </si>
  <si>
    <t>Conformed:</t>
  </si>
  <si>
    <t>Date</t>
  </si>
  <si>
    <t>Date:</t>
  </si>
  <si>
    <t>SPOT EQUITY_7 DAYS</t>
  </si>
  <si>
    <t xml:space="preserve"> </t>
  </si>
  <si>
    <t>TOWER</t>
  </si>
  <si>
    <t>SPOT EQUITY PAYMENT</t>
  </si>
  <si>
    <t>Spot Equity down Payment</t>
  </si>
  <si>
    <t>less: Spot Equity Discount</t>
  </si>
  <si>
    <t>Net Spot Equity Payment</t>
  </si>
  <si>
    <t xml:space="preserve">PAGE: </t>
  </si>
  <si>
    <t xml:space="preserve"> DATE : </t>
  </si>
  <si>
    <t>SPOT CASH_30 DAYS</t>
  </si>
  <si>
    <t>Less: Discount on TSP</t>
  </si>
  <si>
    <t>Net Selling Price</t>
  </si>
  <si>
    <t>SPOT CASH PAYMENT</t>
  </si>
  <si>
    <t>Less: Reservation Fee</t>
  </si>
  <si>
    <t>NET SPOT CASH PAYMENT</t>
  </si>
  <si>
    <t>SPOT CASH_60 DAYS</t>
  </si>
  <si>
    <t>1ST SPOT CASH PAYMENT</t>
  </si>
  <si>
    <t>2ND/FULL BALANCE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</si>
</sst>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&quot;₱&quot;* #,##0.00_-;\-&quot;₱&quot;* #,##0.00_-;_-&quot;₱&quot;* &quot;-&quot;??_-;_-@_-"/>
    <numFmt numFmtId="43" formatCode="_-* #,##0.00_-;\-* #,##0.00_-;_-* &quot;-&quot;??_-;_-@_-"/>
    <numFmt numFmtId="164" formatCode="_(* #,##0.00_);_(* \(#,##0.00\);_(* &quot;-&quot;??_);_(@_)"/>
    <numFmt numFmtId="165" formatCode="0.0%"/>
    <numFmt numFmtId="166" formatCode="&quot;₱&quot;#,##0.00"/>
    <numFmt numFmtId="167" formatCode="_(* #,##0_);_(* \(#,##0\);_(* &quot;-&quot;??_);_(@_)"/>
    <numFmt numFmtId="168" formatCode="[$-409]mmmm\ d\,\ yyyy;@"/>
    <numFmt numFmtId="169" formatCode="0.00_ "/>
    <numFmt numFmtId="170" formatCode="[$-409]dd\-mmm\-yy;@"/>
    <numFmt numFmtId="171" formatCode="[$Php-3409]#,##0.00"/>
    <numFmt numFmtId="172" formatCode="[$-409]d\-mmm\-yy;@"/>
    <numFmt numFmtId="173" formatCode="#,##0.00000000"/>
    <numFmt numFmtId="174" formatCode="#,##0.00;#,##0.00"/>
    <numFmt numFmtId="175" formatCode="_(* #,##0.00_);_(* \(#,##0.00\);_(* &quot;-&quot;??.0_);_(@_)"/>
    <numFmt numFmtId="176" formatCode="_([$₱-3409]* #,##0.00_);_([$₱-3409]* \(#,##0.00\);_([$₱-3409]* &quot;-&quot;??_);_(@_)"/>
    <numFmt numFmtId="177" formatCode="&quot;$&quot;#,##0.00"/>
    <numFmt numFmtId="178" formatCode="mm/dd/yy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Arial"/>
      <family val="2"/>
    </font>
    <font>
      <sz val="6"/>
      <color theme="0"/>
      <name val="Inherit"/>
    </font>
    <font>
      <sz val="10"/>
      <name val="Calibri"/>
      <family val="2"/>
      <scheme val="minor"/>
    </font>
    <font>
      <b/>
      <sz val="10"/>
      <color rgb="FF444950"/>
      <name val="Arial"/>
      <family val="2"/>
    </font>
    <font>
      <sz val="11"/>
      <color rgb="FF000000"/>
      <name val="Calibri"/>
      <family val="2"/>
    </font>
    <font>
      <b/>
      <sz val="10"/>
      <name val="Arial"/>
      <family val="2"/>
    </font>
    <font>
      <sz val="11"/>
      <color theme="1"/>
      <name val="Century Gothic"/>
      <family val="2"/>
    </font>
    <font>
      <b/>
      <sz val="11"/>
      <color theme="0"/>
      <name val="Century Gothic"/>
      <family val="2"/>
    </font>
    <font>
      <b/>
      <sz val="11"/>
      <color theme="1"/>
      <name val="Century Gothic"/>
      <family val="2"/>
    </font>
    <font>
      <sz val="11"/>
      <color theme="0"/>
      <name val="Century Gothic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sz val="11"/>
      <name val="Century Gothic"/>
      <family val="2"/>
    </font>
    <font>
      <b/>
      <u/>
      <sz val="11"/>
      <name val="Century Gothic"/>
      <family val="2"/>
    </font>
    <font>
      <sz val="11"/>
      <color rgb="FFFF0000"/>
      <name val="Century Gothic"/>
      <family val="2"/>
    </font>
    <font>
      <sz val="11"/>
      <color theme="1"/>
      <name val="Arial"/>
      <family val="2"/>
    </font>
    <font>
      <b/>
      <sz val="11"/>
      <name val="Century Gothic"/>
      <family val="2"/>
    </font>
    <font>
      <b/>
      <i/>
      <sz val="11"/>
      <color rgb="FFFF0000"/>
      <name val="Century Gothic"/>
      <family val="2"/>
    </font>
    <font>
      <i/>
      <sz val="11"/>
      <color theme="1"/>
      <name val="Century Gothic"/>
      <family val="2"/>
    </font>
    <font>
      <i/>
      <sz val="11"/>
      <name val="Century Gothic"/>
      <family val="2"/>
    </font>
    <font>
      <b/>
      <sz val="11"/>
      <color rgb="FFFF0000"/>
      <name val="Century Gothic"/>
      <family val="2"/>
    </font>
    <font>
      <sz val="11"/>
      <color rgb="FF000000"/>
      <name val="Century Gothic"/>
      <family val="2"/>
    </font>
    <font>
      <sz val="10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51"/>
      </patternFill>
    </fill>
    <fill>
      <patternFill patternType="solid">
        <fgColor theme="0"/>
        <bgColor rgb="FFFFC000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/>
      <top/>
      <bottom style="thin">
        <color theme="1" tint="0.34998626667073579"/>
      </bottom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2" tint="-0.499984740745262"/>
      </right>
      <top style="thin">
        <color theme="1" tint="0.34998626667073579"/>
      </top>
      <bottom/>
      <diagonal/>
    </border>
    <border>
      <left/>
      <right style="thin">
        <color theme="2" tint="-0.499984740745262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medium">
        <color theme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0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1" tint="0.34998626667073579"/>
      </left>
      <right style="thin">
        <color theme="0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auto="1"/>
      </top>
      <bottom style="thin">
        <color theme="1" tint="0.34998626667073579"/>
      </bottom>
      <diagonal/>
    </border>
    <border>
      <left/>
      <right/>
      <top style="thin">
        <color auto="1"/>
      </top>
      <bottom style="thin">
        <color theme="1" tint="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auto="1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auto="1"/>
      </bottom>
      <diagonal/>
    </border>
    <border>
      <left/>
      <right/>
      <top style="thin">
        <color theme="1" tint="0.34998626667073579"/>
      </top>
      <bottom style="thin">
        <color auto="1"/>
      </bottom>
      <diagonal/>
    </border>
    <border>
      <left/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theme="1" tint="0.34998626667073579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3" fillId="0" borderId="0"/>
    <xf numFmtId="164" fontId="9" fillId="0" borderId="0" applyFont="0" applyFill="0" applyBorder="0" applyAlignment="0" applyProtection="0"/>
  </cellStyleXfs>
  <cellXfs count="505">
    <xf numFmtId="0" fontId="0" fillId="0" borderId="0" xfId="0"/>
    <xf numFmtId="164" fontId="4" fillId="2" borderId="1" xfId="4" applyFont="1" applyFill="1" applyBorder="1" applyAlignment="1">
      <alignment horizontal="center" vertical="center" wrapText="1"/>
    </xf>
    <xf numFmtId="165" fontId="4" fillId="2" borderId="1" xfId="4" applyNumberFormat="1" applyFont="1" applyFill="1" applyBorder="1" applyAlignment="1">
      <alignment horizontal="center" vertical="center"/>
    </xf>
    <xf numFmtId="165" fontId="4" fillId="2" borderId="1" xfId="3" applyNumberFormat="1" applyFont="1" applyFill="1" applyBorder="1" applyAlignment="1">
      <alignment horizontal="center" vertical="center" wrapText="1"/>
    </xf>
    <xf numFmtId="165" fontId="4" fillId="2" borderId="1" xfId="4" applyNumberFormat="1" applyFont="1" applyFill="1" applyBorder="1" applyAlignment="1">
      <alignment horizontal="center" vertical="center" wrapText="1"/>
    </xf>
    <xf numFmtId="165" fontId="4" fillId="2" borderId="1" xfId="5" applyNumberFormat="1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 vertical="center" wrapText="1"/>
    </xf>
    <xf numFmtId="164" fontId="4" fillId="2" borderId="1" xfId="4" quotePrefix="1" applyFont="1" applyFill="1" applyBorder="1" applyAlignment="1">
      <alignment horizontal="center" wrapText="1"/>
    </xf>
    <xf numFmtId="0" fontId="5" fillId="3" borderId="0" xfId="0" applyFont="1" applyFill="1"/>
    <xf numFmtId="0" fontId="6" fillId="3" borderId="0" xfId="0" applyFont="1" applyFill="1"/>
    <xf numFmtId="43" fontId="6" fillId="3" borderId="0" xfId="1" applyFont="1" applyFill="1"/>
    <xf numFmtId="0" fontId="5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/>
    </xf>
    <xf numFmtId="0" fontId="8" fillId="3" borderId="0" xfId="0" applyFont="1" applyFill="1" applyAlignment="1">
      <alignment horizontal="center"/>
    </xf>
    <xf numFmtId="164" fontId="5" fillId="3" borderId="0" xfId="6" applyFont="1" applyFill="1"/>
    <xf numFmtId="0" fontId="7" fillId="3" borderId="0" xfId="0" applyFont="1" applyFill="1" applyAlignment="1">
      <alignment horizontal="center"/>
    </xf>
    <xf numFmtId="164" fontId="6" fillId="3" borderId="1" xfId="6" applyFont="1" applyFill="1" applyBorder="1"/>
    <xf numFmtId="0" fontId="5" fillId="3" borderId="4" xfId="0" applyFont="1" applyFill="1" applyBorder="1"/>
    <xf numFmtId="0" fontId="10" fillId="3" borderId="0" xfId="0" applyFont="1" applyFill="1" applyAlignment="1">
      <alignment horizontal="left" vertical="top" wrapText="1"/>
    </xf>
    <xf numFmtId="164" fontId="11" fillId="3" borderId="0" xfId="4" applyFont="1" applyFill="1" applyAlignment="1">
      <alignment horizontal="center" vertical="center"/>
    </xf>
    <xf numFmtId="164" fontId="11" fillId="3" borderId="1" xfId="4" applyFont="1" applyFill="1" applyBorder="1" applyAlignment="1">
      <alignment horizontal="center" vertical="center"/>
    </xf>
    <xf numFmtId="164" fontId="11" fillId="3" borderId="1" xfId="4" applyFont="1" applyFill="1" applyBorder="1" applyAlignment="1">
      <alignment horizontal="center" vertical="center" wrapText="1"/>
    </xf>
    <xf numFmtId="164" fontId="11" fillId="3" borderId="1" xfId="4" applyFont="1" applyFill="1" applyBorder="1" applyAlignment="1">
      <alignment horizontal="center"/>
    </xf>
    <xf numFmtId="164" fontId="11" fillId="3" borderId="0" xfId="4" applyFont="1" applyFill="1" applyAlignment="1">
      <alignment horizontal="center"/>
    </xf>
    <xf numFmtId="164" fontId="5" fillId="3" borderId="1" xfId="6" applyFont="1" applyFill="1" applyBorder="1"/>
    <xf numFmtId="43" fontId="5" fillId="3" borderId="0" xfId="0" applyNumberFormat="1" applyFont="1" applyFill="1"/>
    <xf numFmtId="43" fontId="5" fillId="3" borderId="0" xfId="1" applyFont="1" applyFill="1"/>
    <xf numFmtId="0" fontId="12" fillId="3" borderId="0" xfId="0" applyFont="1" applyFill="1" applyAlignment="1">
      <alignment horizontal="center"/>
    </xf>
    <xf numFmtId="164" fontId="6" fillId="3" borderId="0" xfId="0" applyNumberFormat="1" applyFont="1" applyFill="1"/>
    <xf numFmtId="43" fontId="6" fillId="3" borderId="0" xfId="0" applyNumberFormat="1" applyFont="1" applyFill="1"/>
    <xf numFmtId="164" fontId="11" fillId="3" borderId="0" xfId="6" applyFont="1" applyFill="1"/>
    <xf numFmtId="0" fontId="6" fillId="3" borderId="0" xfId="0" applyFont="1" applyFill="1" applyAlignment="1">
      <alignment horizontal="center"/>
    </xf>
    <xf numFmtId="43" fontId="6" fillId="3" borderId="0" xfId="0" applyNumberFormat="1" applyFont="1" applyFill="1" applyAlignment="1">
      <alignment horizontal="center"/>
    </xf>
    <xf numFmtId="9" fontId="6" fillId="3" borderId="0" xfId="0" applyNumberFormat="1" applyFont="1" applyFill="1"/>
    <xf numFmtId="164" fontId="7" fillId="3" borderId="0" xfId="0" applyNumberFormat="1" applyFont="1" applyFill="1"/>
    <xf numFmtId="165" fontId="6" fillId="3" borderId="0" xfId="3" applyNumberFormat="1" applyFont="1" applyFill="1" applyAlignment="1">
      <alignment horizontal="center"/>
    </xf>
    <xf numFmtId="9" fontId="6" fillId="3" borderId="0" xfId="3" applyFont="1" applyFill="1" applyAlignment="1">
      <alignment horizontal="center"/>
    </xf>
    <xf numFmtId="165" fontId="6" fillId="3" borderId="0" xfId="0" applyNumberFormat="1" applyFont="1" applyFill="1"/>
    <xf numFmtId="165" fontId="6" fillId="3" borderId="0" xfId="3" applyNumberFormat="1" applyFont="1" applyFill="1"/>
    <xf numFmtId="0" fontId="6" fillId="3" borderId="4" xfId="0" applyFont="1" applyFill="1" applyBorder="1"/>
    <xf numFmtId="43" fontId="6" fillId="3" borderId="4" xfId="0" applyNumberFormat="1" applyFont="1" applyFill="1" applyBorder="1"/>
    <xf numFmtId="43" fontId="7" fillId="3" borderId="0" xfId="0" applyNumberFormat="1" applyFont="1" applyFill="1"/>
    <xf numFmtId="10" fontId="6" fillId="3" borderId="0" xfId="0" applyNumberFormat="1" applyFont="1" applyFill="1" applyAlignment="1">
      <alignment horizontal="center"/>
    </xf>
    <xf numFmtId="43" fontId="6" fillId="4" borderId="0" xfId="0" applyNumberFormat="1" applyFont="1" applyFill="1"/>
    <xf numFmtId="9" fontId="6" fillId="3" borderId="0" xfId="0" applyNumberFormat="1" applyFont="1" applyFill="1" applyAlignment="1">
      <alignment horizontal="center"/>
    </xf>
    <xf numFmtId="9" fontId="6" fillId="4" borderId="0" xfId="0" applyNumberFormat="1" applyFont="1" applyFill="1" applyAlignment="1">
      <alignment horizontal="center"/>
    </xf>
    <xf numFmtId="43" fontId="7" fillId="4" borderId="0" xfId="0" applyNumberFormat="1" applyFont="1" applyFill="1" applyAlignment="1">
      <alignment horizontal="center"/>
    </xf>
    <xf numFmtId="0" fontId="7" fillId="5" borderId="4" xfId="0" applyFont="1" applyFill="1" applyBorder="1"/>
    <xf numFmtId="43" fontId="7" fillId="5" borderId="4" xfId="1" applyFont="1" applyFill="1" applyBorder="1"/>
    <xf numFmtId="0" fontId="7" fillId="3" borderId="4" xfId="0" applyFont="1" applyFill="1" applyBorder="1"/>
    <xf numFmtId="43" fontId="7" fillId="3" borderId="4" xfId="1" applyFont="1" applyFill="1" applyBorder="1"/>
    <xf numFmtId="9" fontId="7" fillId="3" borderId="0" xfId="0" applyNumberFormat="1" applyFont="1" applyFill="1" applyAlignment="1">
      <alignment horizontal="center"/>
    </xf>
    <xf numFmtId="0" fontId="7" fillId="3" borderId="0" xfId="0" applyFont="1" applyFill="1"/>
    <xf numFmtId="9" fontId="6" fillId="3" borderId="0" xfId="3" applyFont="1" applyFill="1"/>
    <xf numFmtId="164" fontId="8" fillId="3" borderId="1" xfId="4" applyFont="1" applyFill="1" applyBorder="1" applyAlignment="1">
      <alignment horizontal="center" vertical="center"/>
    </xf>
    <xf numFmtId="164" fontId="8" fillId="3" borderId="1" xfId="4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/>
    </xf>
    <xf numFmtId="9" fontId="8" fillId="3" borderId="1" xfId="4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/>
    <xf numFmtId="9" fontId="5" fillId="3" borderId="0" xfId="0" applyNumberFormat="1" applyFont="1" applyFill="1"/>
    <xf numFmtId="164" fontId="11" fillId="3" borderId="1" xfId="6" applyFont="1" applyFill="1" applyBorder="1"/>
    <xf numFmtId="164" fontId="11" fillId="3" borderId="1" xfId="6" applyFont="1" applyFill="1" applyBorder="1" applyAlignment="1">
      <alignment horizontal="center"/>
    </xf>
    <xf numFmtId="43" fontId="11" fillId="3" borderId="1" xfId="1" applyFont="1" applyFill="1" applyBorder="1" applyAlignment="1">
      <alignment horizontal="center" vertical="center"/>
    </xf>
    <xf numFmtId="43" fontId="11" fillId="3" borderId="1" xfId="1" applyFont="1" applyFill="1" applyBorder="1"/>
    <xf numFmtId="0" fontId="11" fillId="3" borderId="0" xfId="0" applyFont="1" applyFill="1"/>
    <xf numFmtId="43" fontId="11" fillId="3" borderId="0" xfId="1" applyFont="1" applyFill="1"/>
    <xf numFmtId="0" fontId="11" fillId="3" borderId="5" xfId="0" applyFont="1" applyFill="1" applyBorder="1"/>
    <xf numFmtId="43" fontId="11" fillId="3" borderId="0" xfId="0" applyNumberFormat="1" applyFont="1" applyFill="1"/>
    <xf numFmtId="0" fontId="14" fillId="3" borderId="0" xfId="0" applyFont="1" applyFill="1" applyAlignment="1">
      <alignment horizontal="center"/>
    </xf>
    <xf numFmtId="164" fontId="11" fillId="3" borderId="0" xfId="0" applyNumberFormat="1" applyFont="1" applyFill="1"/>
    <xf numFmtId="0" fontId="16" fillId="6" borderId="11" xfId="0" applyFont="1" applyFill="1" applyBorder="1" applyAlignment="1">
      <alignment vertical="center"/>
    </xf>
    <xf numFmtId="0" fontId="18" fillId="6" borderId="17" xfId="0" applyFont="1" applyFill="1" applyBorder="1" applyAlignment="1">
      <alignment vertical="center"/>
    </xf>
    <xf numFmtId="0" fontId="16" fillId="6" borderId="0" xfId="0" applyFont="1" applyFill="1" applyAlignment="1">
      <alignment vertical="center"/>
    </xf>
    <xf numFmtId="0" fontId="18" fillId="6" borderId="40" xfId="0" applyFont="1" applyFill="1" applyBorder="1" applyAlignment="1">
      <alignment vertical="center"/>
    </xf>
    <xf numFmtId="43" fontId="0" fillId="3" borderId="0" xfId="1" applyFont="1" applyFill="1" applyProtection="1"/>
    <xf numFmtId="0" fontId="15" fillId="3" borderId="0" xfId="0" applyFont="1" applyFill="1" applyAlignment="1">
      <alignment vertical="center"/>
    </xf>
    <xf numFmtId="0" fontId="15" fillId="3" borderId="39" xfId="0" applyFont="1" applyFill="1" applyBorder="1" applyAlignment="1">
      <alignment vertical="center"/>
    </xf>
    <xf numFmtId="43" fontId="15" fillId="3" borderId="0" xfId="1" applyFont="1" applyFill="1" applyAlignment="1" applyProtection="1">
      <alignment vertical="center"/>
    </xf>
    <xf numFmtId="0" fontId="17" fillId="3" borderId="0" xfId="0" applyFont="1" applyFill="1" applyAlignment="1">
      <alignment vertical="center"/>
    </xf>
    <xf numFmtId="0" fontId="2" fillId="3" borderId="0" xfId="0" applyFont="1" applyFill="1"/>
    <xf numFmtId="0" fontId="2" fillId="3" borderId="0" xfId="0" applyFont="1" applyFill="1" applyAlignment="1">
      <alignment vertical="center"/>
    </xf>
    <xf numFmtId="0" fontId="16" fillId="3" borderId="0" xfId="0" applyFont="1" applyFill="1" applyAlignment="1">
      <alignment vertical="center"/>
    </xf>
    <xf numFmtId="0" fontId="15" fillId="3" borderId="11" xfId="0" applyFont="1" applyFill="1" applyBorder="1" applyAlignment="1">
      <alignment vertical="center"/>
    </xf>
    <xf numFmtId="43" fontId="17" fillId="3" borderId="0" xfId="1" applyFont="1" applyFill="1" applyBorder="1" applyAlignment="1" applyProtection="1">
      <alignment vertical="center"/>
    </xf>
    <xf numFmtId="0" fontId="17" fillId="3" borderId="0" xfId="0" applyFont="1" applyFill="1" applyAlignment="1">
      <alignment horizontal="center" vertical="center"/>
    </xf>
    <xf numFmtId="176" fontId="17" fillId="3" borderId="0" xfId="0" applyNumberFormat="1" applyFont="1" applyFill="1" applyAlignment="1">
      <alignment horizontal="center" vertical="center"/>
    </xf>
    <xf numFmtId="0" fontId="15" fillId="3" borderId="40" xfId="0" applyFont="1" applyFill="1" applyBorder="1" applyAlignment="1">
      <alignment vertical="center"/>
    </xf>
    <xf numFmtId="0" fontId="15" fillId="3" borderId="0" xfId="0" applyFont="1" applyFill="1" applyAlignment="1">
      <alignment horizontal="center" vertical="center"/>
    </xf>
    <xf numFmtId="0" fontId="15" fillId="3" borderId="30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0" xfId="0" applyFont="1" applyFill="1"/>
    <xf numFmtId="43" fontId="15" fillId="3" borderId="0" xfId="1" applyFont="1" applyFill="1" applyProtection="1"/>
    <xf numFmtId="0" fontId="15" fillId="3" borderId="0" xfId="0" applyFont="1" applyFill="1" applyAlignment="1">
      <alignment horizontal="center"/>
    </xf>
    <xf numFmtId="177" fontId="3" fillId="3" borderId="0" xfId="0" applyNumberFormat="1" applyFont="1" applyFill="1"/>
    <xf numFmtId="43" fontId="19" fillId="3" borderId="0" xfId="1" applyFont="1" applyFill="1" applyProtection="1"/>
    <xf numFmtId="0" fontId="0" fillId="3" borderId="0" xfId="0" applyFill="1"/>
    <xf numFmtId="0" fontId="0" fillId="3" borderId="0" xfId="0" applyFill="1" applyAlignment="1">
      <alignment horizontal="center"/>
    </xf>
    <xf numFmtId="0" fontId="16" fillId="6" borderId="6" xfId="0" applyFont="1" applyFill="1" applyBorder="1" applyAlignment="1">
      <alignment horizontal="center" vertical="center"/>
    </xf>
    <xf numFmtId="170" fontId="15" fillId="3" borderId="6" xfId="0" applyNumberFormat="1" applyFont="1" applyFill="1" applyBorder="1" applyAlignment="1">
      <alignment horizontal="center"/>
    </xf>
    <xf numFmtId="168" fontId="17" fillId="3" borderId="0" xfId="0" applyNumberFormat="1" applyFont="1" applyFill="1"/>
    <xf numFmtId="0" fontId="16" fillId="6" borderId="6" xfId="0" applyFont="1" applyFill="1" applyBorder="1"/>
    <xf numFmtId="0" fontId="17" fillId="3" borderId="0" xfId="0" applyFont="1" applyFill="1"/>
    <xf numFmtId="0" fontId="16" fillId="6" borderId="0" xfId="0" applyFont="1" applyFill="1" applyAlignment="1">
      <alignment horizontal="center" vertical="center"/>
    </xf>
    <xf numFmtId="170" fontId="15" fillId="3" borderId="6" xfId="0" applyNumberFormat="1" applyFont="1" applyFill="1" applyBorder="1" applyAlignment="1">
      <alignment horizontal="center" vertical="center"/>
    </xf>
    <xf numFmtId="168" fontId="17" fillId="3" borderId="0" xfId="0" applyNumberFormat="1" applyFont="1" applyFill="1" applyAlignment="1">
      <alignment vertical="center"/>
    </xf>
    <xf numFmtId="0" fontId="21" fillId="3" borderId="0" xfId="0" applyFont="1" applyFill="1"/>
    <xf numFmtId="0" fontId="22" fillId="3" borderId="0" xfId="0" applyFont="1" applyFill="1"/>
    <xf numFmtId="0" fontId="22" fillId="3" borderId="0" xfId="0" applyFont="1" applyFill="1" applyAlignment="1">
      <alignment horizontal="center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19" fillId="3" borderId="0" xfId="0" applyFont="1" applyFill="1" applyAlignment="1">
      <alignment vertical="center"/>
    </xf>
    <xf numFmtId="0" fontId="23" fillId="3" borderId="0" xfId="0" applyFont="1" applyFill="1" applyAlignment="1">
      <alignment vertical="center"/>
    </xf>
    <xf numFmtId="0" fontId="23" fillId="3" borderId="0" xfId="0" applyFont="1" applyFill="1" applyAlignment="1">
      <alignment horizontal="center" vertical="center"/>
    </xf>
    <xf numFmtId="0" fontId="19" fillId="3" borderId="0" xfId="0" applyFont="1" applyFill="1"/>
    <xf numFmtId="43" fontId="22" fillId="3" borderId="0" xfId="1" applyFont="1" applyFill="1" applyAlignment="1" applyProtection="1">
      <alignment vertical="center"/>
    </xf>
    <xf numFmtId="0" fontId="18" fillId="3" borderId="0" xfId="0" applyFont="1" applyFill="1" applyAlignment="1">
      <alignment vertical="center"/>
    </xf>
    <xf numFmtId="43" fontId="24" fillId="3" borderId="0" xfId="1" applyFont="1" applyFill="1" applyAlignment="1" applyProtection="1">
      <alignment vertical="center"/>
    </xf>
    <xf numFmtId="0" fontId="25" fillId="3" borderId="0" xfId="0" applyFont="1" applyFill="1" applyAlignment="1">
      <alignment vertical="center"/>
    </xf>
    <xf numFmtId="0" fontId="18" fillId="6" borderId="11" xfId="0" applyFont="1" applyFill="1" applyBorder="1" applyAlignment="1">
      <alignment horizontal="left" vertical="center"/>
    </xf>
    <xf numFmtId="0" fontId="18" fillId="6" borderId="11" xfId="0" applyFont="1" applyFill="1" applyBorder="1" applyAlignment="1">
      <alignment vertical="center"/>
    </xf>
    <xf numFmtId="0" fontId="25" fillId="3" borderId="0" xfId="0" applyFont="1" applyFill="1"/>
    <xf numFmtId="169" fontId="25" fillId="3" borderId="0" xfId="0" applyNumberFormat="1" applyFont="1" applyFill="1" applyAlignment="1">
      <alignment horizontal="center"/>
    </xf>
    <xf numFmtId="10" fontId="25" fillId="3" borderId="0" xfId="0" applyNumberFormat="1" applyFont="1" applyFill="1" applyAlignment="1">
      <alignment horizontal="center"/>
    </xf>
    <xf numFmtId="49" fontId="25" fillId="3" borderId="0" xfId="0" applyNumberFormat="1" applyFont="1" applyFill="1" applyAlignment="1">
      <alignment horizontal="center"/>
    </xf>
    <xf numFmtId="0" fontId="16" fillId="6" borderId="17" xfId="0" applyFont="1" applyFill="1" applyBorder="1" applyAlignment="1">
      <alignment vertical="center"/>
    </xf>
    <xf numFmtId="0" fontId="18" fillId="6" borderId="17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vertical="center"/>
    </xf>
    <xf numFmtId="0" fontId="15" fillId="3" borderId="8" xfId="0" applyFont="1" applyFill="1" applyBorder="1" applyAlignment="1">
      <alignment horizontal="right" vertical="center"/>
    </xf>
    <xf numFmtId="0" fontId="15" fillId="3" borderId="8" xfId="0" applyFont="1" applyFill="1" applyBorder="1"/>
    <xf numFmtId="0" fontId="15" fillId="3" borderId="36" xfId="0" applyFont="1" applyFill="1" applyBorder="1" applyAlignment="1">
      <alignment vertical="center"/>
    </xf>
    <xf numFmtId="0" fontId="15" fillId="3" borderId="23" xfId="0" applyFont="1" applyFill="1" applyBorder="1" applyAlignment="1">
      <alignment horizontal="right" vertical="center"/>
    </xf>
    <xf numFmtId="0" fontId="15" fillId="3" borderId="30" xfId="0" applyFont="1" applyFill="1" applyBorder="1"/>
    <xf numFmtId="0" fontId="15" fillId="3" borderId="24" xfId="0" applyFont="1" applyFill="1" applyBorder="1" applyAlignment="1">
      <alignment vertical="center"/>
    </xf>
    <xf numFmtId="0" fontId="18" fillId="3" borderId="11" xfId="0" applyFont="1" applyFill="1" applyBorder="1" applyAlignment="1">
      <alignment horizontal="left" vertical="center"/>
    </xf>
    <xf numFmtId="0" fontId="15" fillId="3" borderId="7" xfId="0" applyFont="1" applyFill="1" applyBorder="1" applyAlignment="1">
      <alignment vertical="center"/>
    </xf>
    <xf numFmtId="164" fontId="26" fillId="3" borderId="32" xfId="0" applyNumberFormat="1" applyFont="1" applyFill="1" applyBorder="1" applyAlignment="1">
      <alignment horizontal="center" vertical="center"/>
    </xf>
    <xf numFmtId="0" fontId="18" fillId="3" borderId="0" xfId="0" applyFont="1" applyFill="1" applyAlignment="1">
      <alignment horizontal="left" vertical="center"/>
    </xf>
    <xf numFmtId="0" fontId="15" fillId="3" borderId="7" xfId="0" applyFont="1" applyFill="1" applyBorder="1" applyAlignment="1">
      <alignment horizontal="right" vertical="center"/>
    </xf>
    <xf numFmtId="0" fontId="15" fillId="3" borderId="7" xfId="0" applyFont="1" applyFill="1" applyBorder="1"/>
    <xf numFmtId="0" fontId="15" fillId="3" borderId="32" xfId="0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15" fillId="3" borderId="38" xfId="0" applyFont="1" applyFill="1" applyBorder="1" applyAlignment="1">
      <alignment vertical="center"/>
    </xf>
    <xf numFmtId="0" fontId="16" fillId="6" borderId="11" xfId="0" applyFont="1" applyFill="1" applyBorder="1" applyAlignment="1">
      <alignment horizontal="left" vertical="center"/>
    </xf>
    <xf numFmtId="171" fontId="26" fillId="3" borderId="16" xfId="0" applyNumberFormat="1" applyFont="1" applyFill="1" applyBorder="1" applyAlignment="1">
      <alignment vertical="center"/>
    </xf>
    <xf numFmtId="0" fontId="17" fillId="3" borderId="14" xfId="0" applyFont="1" applyFill="1" applyBorder="1" applyAlignment="1">
      <alignment vertical="center"/>
    </xf>
    <xf numFmtId="9" fontId="22" fillId="3" borderId="16" xfId="3" applyFont="1" applyFill="1" applyBorder="1" applyAlignment="1" applyProtection="1">
      <alignment horizontal="center" vertical="center"/>
    </xf>
    <xf numFmtId="172" fontId="15" fillId="3" borderId="1" xfId="1" applyNumberFormat="1" applyFont="1" applyFill="1" applyBorder="1" applyAlignment="1" applyProtection="1">
      <alignment horizontal="center" vertical="center"/>
    </xf>
    <xf numFmtId="0" fontId="16" fillId="6" borderId="0" xfId="0" applyFont="1" applyFill="1" applyAlignment="1">
      <alignment horizontal="left" vertical="center"/>
    </xf>
    <xf numFmtId="9" fontId="26" fillId="3" borderId="16" xfId="3" applyFont="1" applyFill="1" applyBorder="1" applyAlignment="1" applyProtection="1">
      <alignment horizontal="center" vertical="center"/>
    </xf>
    <xf numFmtId="0" fontId="22" fillId="3" borderId="0" xfId="0" applyFont="1" applyFill="1" applyAlignment="1">
      <alignment horizontal="left" vertical="center"/>
    </xf>
    <xf numFmtId="171" fontId="15" fillId="3" borderId="0" xfId="0" applyNumberFormat="1" applyFont="1" applyFill="1" applyAlignment="1">
      <alignment horizontal="left" vertical="center"/>
    </xf>
    <xf numFmtId="165" fontId="15" fillId="3" borderId="12" xfId="0" applyNumberFormat="1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vertical="center"/>
    </xf>
    <xf numFmtId="0" fontId="18" fillId="6" borderId="40" xfId="0" applyFont="1" applyFill="1" applyBorder="1" applyAlignment="1">
      <alignment horizontal="left" vertical="center"/>
    </xf>
    <xf numFmtId="165" fontId="15" fillId="3" borderId="16" xfId="0" applyNumberFormat="1" applyFont="1" applyFill="1" applyBorder="1" applyAlignment="1">
      <alignment horizontal="center" vertical="center"/>
    </xf>
    <xf numFmtId="0" fontId="22" fillId="3" borderId="40" xfId="0" applyFont="1" applyFill="1" applyBorder="1" applyAlignment="1">
      <alignment horizontal="left" vertical="center"/>
    </xf>
    <xf numFmtId="0" fontId="27" fillId="3" borderId="0" xfId="0" applyFont="1" applyFill="1" applyAlignment="1">
      <alignment vertical="center"/>
    </xf>
    <xf numFmtId="0" fontId="17" fillId="3" borderId="41" xfId="0" applyFont="1" applyFill="1" applyBorder="1" applyAlignment="1">
      <alignment vertical="center"/>
    </xf>
    <xf numFmtId="9" fontId="17" fillId="3" borderId="12" xfId="0" applyNumberFormat="1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vertical="center"/>
    </xf>
    <xf numFmtId="0" fontId="17" fillId="3" borderId="16" xfId="0" applyFont="1" applyFill="1" applyBorder="1" applyAlignment="1">
      <alignment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vertical="center"/>
    </xf>
    <xf numFmtId="0" fontId="16" fillId="3" borderId="0" xfId="0" applyFont="1" applyFill="1" applyAlignment="1">
      <alignment horizontal="left" vertical="center"/>
    </xf>
    <xf numFmtId="166" fontId="0" fillId="3" borderId="0" xfId="0" applyNumberFormat="1" applyFill="1"/>
    <xf numFmtId="172" fontId="15" fillId="3" borderId="0" xfId="1" applyNumberFormat="1" applyFont="1" applyFill="1" applyProtection="1"/>
    <xf numFmtId="172" fontId="22" fillId="3" borderId="2" xfId="1" applyNumberFormat="1" applyFont="1" applyFill="1" applyBorder="1" applyAlignment="1" applyProtection="1">
      <alignment horizontal="center" vertical="center"/>
    </xf>
    <xf numFmtId="0" fontId="16" fillId="6" borderId="0" xfId="0" applyFont="1" applyFill="1"/>
    <xf numFmtId="168" fontId="15" fillId="3" borderId="0" xfId="0" applyNumberFormat="1" applyFont="1" applyFill="1" applyAlignment="1">
      <alignment vertical="center"/>
    </xf>
    <xf numFmtId="0" fontId="16" fillId="3" borderId="0" xfId="0" applyFont="1" applyFill="1" applyAlignment="1">
      <alignment horizontal="center" vertical="center"/>
    </xf>
    <xf numFmtId="168" fontId="15" fillId="3" borderId="0" xfId="0" applyNumberFormat="1" applyFont="1" applyFill="1"/>
    <xf numFmtId="0" fontId="16" fillId="6" borderId="0" xfId="0" applyFont="1" applyFill="1" applyAlignment="1">
      <alignment horizontal="center"/>
    </xf>
    <xf numFmtId="168" fontId="15" fillId="3" borderId="12" xfId="0" applyNumberFormat="1" applyFont="1" applyFill="1" applyBorder="1" applyAlignment="1">
      <alignment horizontal="center"/>
    </xf>
    <xf numFmtId="0" fontId="22" fillId="3" borderId="7" xfId="0" applyFont="1" applyFill="1" applyBorder="1"/>
    <xf numFmtId="0" fontId="22" fillId="3" borderId="7" xfId="0" applyFont="1" applyFill="1" applyBorder="1" applyAlignment="1">
      <alignment horizontal="center"/>
    </xf>
    <xf numFmtId="172" fontId="22" fillId="3" borderId="7" xfId="0" applyNumberFormat="1" applyFont="1" applyFill="1" applyBorder="1" applyAlignment="1">
      <alignment horizontal="center"/>
    </xf>
    <xf numFmtId="172" fontId="24" fillId="3" borderId="0" xfId="1" applyNumberFormat="1" applyFont="1" applyFill="1" applyAlignment="1" applyProtection="1">
      <alignment vertical="center"/>
    </xf>
    <xf numFmtId="0" fontId="18" fillId="6" borderId="15" xfId="0" applyFont="1" applyFill="1" applyBorder="1" applyAlignment="1">
      <alignment horizontal="left" vertical="center"/>
    </xf>
    <xf numFmtId="0" fontId="16" fillId="6" borderId="15" xfId="0" applyFont="1" applyFill="1" applyBorder="1" applyAlignment="1">
      <alignment horizontal="left" vertical="center"/>
    </xf>
    <xf numFmtId="0" fontId="18" fillId="6" borderId="0" xfId="0" applyFont="1" applyFill="1" applyAlignment="1">
      <alignment horizontal="left" vertical="center"/>
    </xf>
    <xf numFmtId="172" fontId="15" fillId="3" borderId="0" xfId="0" applyNumberFormat="1" applyFont="1" applyFill="1" applyAlignment="1">
      <alignment horizontal="center" vertical="center"/>
    </xf>
    <xf numFmtId="0" fontId="18" fillId="6" borderId="28" xfId="0" applyFont="1" applyFill="1" applyBorder="1" applyAlignment="1">
      <alignment vertical="center"/>
    </xf>
    <xf numFmtId="0" fontId="18" fillId="6" borderId="42" xfId="0" applyFont="1" applyFill="1" applyBorder="1" applyAlignment="1">
      <alignment vertical="center"/>
    </xf>
    <xf numFmtId="0" fontId="15" fillId="3" borderId="11" xfId="0" applyFont="1" applyFill="1" applyBorder="1"/>
    <xf numFmtId="178" fontId="15" fillId="3" borderId="0" xfId="0" applyNumberFormat="1" applyFont="1" applyFill="1"/>
    <xf numFmtId="0" fontId="15" fillId="3" borderId="44" xfId="0" applyFont="1" applyFill="1" applyBorder="1" applyAlignment="1">
      <alignment vertical="center"/>
    </xf>
    <xf numFmtId="0" fontId="15" fillId="3" borderId="45" xfId="0" applyFont="1" applyFill="1" applyBorder="1" applyAlignment="1">
      <alignment horizontal="center" vertical="center"/>
    </xf>
    <xf numFmtId="172" fontId="15" fillId="3" borderId="37" xfId="0" applyNumberFormat="1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vertical="center"/>
    </xf>
    <xf numFmtId="0" fontId="15" fillId="3" borderId="14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vertical="center"/>
    </xf>
    <xf numFmtId="0" fontId="15" fillId="3" borderId="12" xfId="0" applyFont="1" applyFill="1" applyBorder="1" applyAlignment="1">
      <alignment vertical="center"/>
    </xf>
    <xf numFmtId="0" fontId="18" fillId="3" borderId="28" xfId="0" applyFont="1" applyFill="1" applyBorder="1" applyAlignment="1">
      <alignment vertical="center"/>
    </xf>
    <xf numFmtId="0" fontId="18" fillId="3" borderId="42" xfId="0" applyFont="1" applyFill="1" applyBorder="1" applyAlignment="1">
      <alignment vertical="center"/>
    </xf>
    <xf numFmtId="172" fontId="15" fillId="3" borderId="0" xfId="1" applyNumberFormat="1" applyFont="1" applyFill="1" applyAlignment="1" applyProtection="1">
      <alignment vertical="center"/>
    </xf>
    <xf numFmtId="171" fontId="26" fillId="3" borderId="1" xfId="0" applyNumberFormat="1" applyFont="1" applyFill="1" applyBorder="1" applyAlignment="1">
      <alignment vertical="center"/>
    </xf>
    <xf numFmtId="171" fontId="22" fillId="3" borderId="1" xfId="0" applyNumberFormat="1" applyFont="1" applyFill="1" applyBorder="1" applyAlignment="1">
      <alignment vertical="center"/>
    </xf>
    <xf numFmtId="165" fontId="15" fillId="3" borderId="1" xfId="0" applyNumberFormat="1" applyFont="1" applyFill="1" applyBorder="1" applyAlignment="1">
      <alignment horizontal="center" vertical="center"/>
    </xf>
    <xf numFmtId="172" fontId="17" fillId="3" borderId="1" xfId="1" applyNumberFormat="1" applyFont="1" applyFill="1" applyBorder="1" applyAlignment="1" applyProtection="1">
      <alignment horizontal="center" vertical="center"/>
    </xf>
    <xf numFmtId="0" fontId="18" fillId="6" borderId="0" xfId="0" applyFont="1" applyFill="1" applyAlignment="1">
      <alignment vertical="center"/>
    </xf>
    <xf numFmtId="172" fontId="15" fillId="3" borderId="0" xfId="1" applyNumberFormat="1" applyFont="1" applyFill="1" applyBorder="1" applyAlignment="1" applyProtection="1">
      <alignment horizontal="center" vertical="center"/>
    </xf>
    <xf numFmtId="171" fontId="15" fillId="3" borderId="0" xfId="0" applyNumberFormat="1" applyFont="1" applyFill="1" applyAlignment="1">
      <alignment horizontal="center" vertical="center"/>
    </xf>
    <xf numFmtId="0" fontId="22" fillId="6" borderId="0" xfId="0" applyFont="1" applyFill="1" applyAlignment="1">
      <alignment horizontal="left" vertical="center"/>
    </xf>
    <xf numFmtId="0" fontId="15" fillId="6" borderId="0" xfId="0" applyFont="1" applyFill="1" applyAlignment="1">
      <alignment vertical="center"/>
    </xf>
    <xf numFmtId="9" fontId="15" fillId="3" borderId="0" xfId="0" applyNumberFormat="1" applyFont="1" applyFill="1" applyAlignment="1">
      <alignment horizontal="center" vertical="center"/>
    </xf>
    <xf numFmtId="44" fontId="15" fillId="3" borderId="0" xfId="2" applyFont="1" applyFill="1" applyAlignment="1" applyProtection="1">
      <alignment vertical="center"/>
    </xf>
    <xf numFmtId="165" fontId="26" fillId="3" borderId="46" xfId="0" applyNumberFormat="1" applyFont="1" applyFill="1" applyBorder="1" applyAlignment="1">
      <alignment horizontal="center" vertical="center"/>
    </xf>
    <xf numFmtId="172" fontId="17" fillId="3" borderId="0" xfId="0" applyNumberFormat="1" applyFont="1" applyFill="1" applyAlignment="1">
      <alignment vertical="center"/>
    </xf>
    <xf numFmtId="165" fontId="22" fillId="3" borderId="50" xfId="0" applyNumberFormat="1" applyFont="1" applyFill="1" applyBorder="1" applyAlignment="1">
      <alignment horizontal="center" vertical="center"/>
    </xf>
    <xf numFmtId="172" fontId="17" fillId="3" borderId="0" xfId="0" applyNumberFormat="1" applyFont="1" applyFill="1" applyAlignment="1">
      <alignment horizontal="center" vertical="center"/>
    </xf>
    <xf numFmtId="0" fontId="22" fillId="3" borderId="50" xfId="0" applyFont="1" applyFill="1" applyBorder="1" applyAlignment="1">
      <alignment vertical="center"/>
    </xf>
    <xf numFmtId="171" fontId="26" fillId="3" borderId="55" xfId="0" applyNumberFormat="1" applyFont="1" applyFill="1" applyBorder="1" applyAlignment="1">
      <alignment horizontal="left" vertical="center"/>
    </xf>
    <xf numFmtId="172" fontId="15" fillId="3" borderId="30" xfId="0" applyNumberFormat="1" applyFont="1" applyFill="1" applyBorder="1" applyAlignment="1">
      <alignment horizontal="center" vertical="center"/>
    </xf>
    <xf numFmtId="0" fontId="15" fillId="3" borderId="0" xfId="0" applyFont="1" applyFill="1" applyAlignment="1">
      <alignment horizontal="left" vertical="center"/>
    </xf>
    <xf numFmtId="172" fontId="15" fillId="3" borderId="0" xfId="0" applyNumberFormat="1" applyFont="1" applyFill="1" applyAlignment="1">
      <alignment vertical="center"/>
    </xf>
    <xf numFmtId="165" fontId="26" fillId="3" borderId="56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165" fontId="22" fillId="3" borderId="1" xfId="3" applyNumberFormat="1" applyFont="1" applyFill="1" applyBorder="1" applyAlignment="1" applyProtection="1">
      <alignment horizontal="center" vertical="center"/>
    </xf>
    <xf numFmtId="173" fontId="22" fillId="7" borderId="1" xfId="7" applyNumberFormat="1" applyFont="1" applyFill="1" applyBorder="1" applyAlignment="1">
      <alignment horizontal="center" vertical="center"/>
    </xf>
    <xf numFmtId="171" fontId="15" fillId="3" borderId="1" xfId="1" applyNumberFormat="1" applyFont="1" applyFill="1" applyBorder="1" applyAlignment="1" applyProtection="1">
      <alignment horizontal="center" vertical="center"/>
    </xf>
    <xf numFmtId="165" fontId="15" fillId="3" borderId="1" xfId="3" applyNumberFormat="1" applyFont="1" applyFill="1" applyBorder="1" applyAlignment="1" applyProtection="1">
      <alignment horizontal="center" vertical="center"/>
    </xf>
    <xf numFmtId="0" fontId="28" fillId="3" borderId="0" xfId="0" applyFont="1" applyFill="1" applyAlignment="1">
      <alignment vertical="center"/>
    </xf>
    <xf numFmtId="0" fontId="29" fillId="3" borderId="0" xfId="7" applyFont="1" applyFill="1" applyAlignment="1">
      <alignment vertical="center"/>
    </xf>
    <xf numFmtId="0" fontId="22" fillId="3" borderId="0" xfId="7" applyFont="1" applyFill="1" applyAlignment="1">
      <alignment vertical="center"/>
    </xf>
    <xf numFmtId="171" fontId="15" fillId="3" borderId="0" xfId="2" applyNumberFormat="1" applyFont="1" applyFill="1" applyBorder="1" applyAlignment="1" applyProtection="1">
      <alignment horizontal="center" vertical="center"/>
    </xf>
    <xf numFmtId="0" fontId="16" fillId="3" borderId="0" xfId="0" applyFont="1" applyFill="1" applyAlignment="1">
      <alignment horizontal="center"/>
    </xf>
    <xf numFmtId="166" fontId="16" fillId="3" borderId="0" xfId="0" applyNumberFormat="1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16" fillId="3" borderId="0" xfId="0" applyFont="1" applyFill="1"/>
    <xf numFmtId="167" fontId="16" fillId="3" borderId="0" xfId="1" applyNumberFormat="1" applyFont="1" applyFill="1" applyAlignment="1" applyProtection="1">
      <alignment horizontal="center"/>
    </xf>
    <xf numFmtId="9" fontId="16" fillId="3" borderId="0" xfId="0" applyNumberFormat="1" applyFont="1" applyFill="1"/>
    <xf numFmtId="168" fontId="18" fillId="3" borderId="0" xfId="0" applyNumberFormat="1" applyFont="1" applyFill="1"/>
    <xf numFmtId="169" fontId="15" fillId="3" borderId="0" xfId="0" applyNumberFormat="1" applyFont="1" applyFill="1" applyAlignment="1">
      <alignment horizontal="center"/>
    </xf>
    <xf numFmtId="10" fontId="15" fillId="3" borderId="0" xfId="0" applyNumberFormat="1" applyFont="1" applyFill="1" applyAlignment="1">
      <alignment horizontal="center"/>
    </xf>
    <xf numFmtId="49" fontId="15" fillId="3" borderId="0" xfId="0" applyNumberFormat="1" applyFont="1" applyFill="1" applyAlignment="1">
      <alignment horizontal="center"/>
    </xf>
    <xf numFmtId="0" fontId="16" fillId="6" borderId="6" xfId="0" applyFont="1" applyFill="1" applyBorder="1" applyAlignment="1">
      <alignment vertical="center"/>
    </xf>
    <xf numFmtId="0" fontId="16" fillId="3" borderId="6" xfId="0" applyFont="1" applyFill="1" applyBorder="1" applyAlignment="1">
      <alignment horizontal="center" vertical="center"/>
    </xf>
    <xf numFmtId="168" fontId="15" fillId="3" borderId="6" xfId="0" applyNumberFormat="1" applyFont="1" applyFill="1" applyBorder="1" applyAlignment="1">
      <alignment horizontal="center"/>
    </xf>
    <xf numFmtId="0" fontId="17" fillId="3" borderId="7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/>
    </xf>
    <xf numFmtId="164" fontId="17" fillId="3" borderId="7" xfId="0" applyNumberFormat="1" applyFont="1" applyFill="1" applyBorder="1"/>
    <xf numFmtId="0" fontId="17" fillId="3" borderId="10" xfId="0" applyFont="1" applyFill="1" applyBorder="1" applyAlignment="1">
      <alignment vertical="center"/>
    </xf>
    <xf numFmtId="164" fontId="17" fillId="3" borderId="0" xfId="0" applyNumberFormat="1" applyFont="1" applyFill="1" applyAlignment="1">
      <alignment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vertical="center"/>
    </xf>
    <xf numFmtId="0" fontId="18" fillId="3" borderId="17" xfId="0" applyFont="1" applyFill="1" applyBorder="1" applyAlignment="1">
      <alignment horizontal="left" vertical="center"/>
    </xf>
    <xf numFmtId="0" fontId="16" fillId="3" borderId="17" xfId="0" applyFont="1" applyFill="1" applyBorder="1" applyAlignment="1">
      <alignment vertical="center"/>
    </xf>
    <xf numFmtId="0" fontId="17" fillId="3" borderId="0" xfId="0" applyFont="1" applyFill="1" applyAlignment="1">
      <alignment horizontal="left" vertical="center"/>
    </xf>
    <xf numFmtId="0" fontId="17" fillId="3" borderId="0" xfId="1" applyNumberFormat="1" applyFont="1" applyFill="1" applyAlignment="1" applyProtection="1">
      <alignment vertical="center"/>
    </xf>
    <xf numFmtId="0" fontId="17" fillId="3" borderId="0" xfId="1" applyNumberFormat="1" applyFont="1" applyFill="1" applyBorder="1" applyAlignment="1" applyProtection="1">
      <alignment vertical="center"/>
    </xf>
    <xf numFmtId="0" fontId="17" fillId="3" borderId="0" xfId="1" applyNumberFormat="1" applyFont="1" applyFill="1" applyBorder="1" applyAlignment="1" applyProtection="1">
      <alignment horizontal="right" vertical="center"/>
    </xf>
    <xf numFmtId="0" fontId="17" fillId="3" borderId="1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9" fontId="17" fillId="3" borderId="12" xfId="3" applyFont="1" applyFill="1" applyBorder="1" applyAlignment="1" applyProtection="1">
      <alignment horizontal="center" vertical="center"/>
    </xf>
    <xf numFmtId="172" fontId="15" fillId="3" borderId="1" xfId="0" applyNumberFormat="1" applyFont="1" applyFill="1" applyBorder="1" applyAlignment="1">
      <alignment horizontal="center" vertical="center"/>
    </xf>
    <xf numFmtId="172" fontId="15" fillId="3" borderId="0" xfId="0" applyNumberFormat="1" applyFont="1" applyFill="1"/>
    <xf numFmtId="171" fontId="17" fillId="3" borderId="0" xfId="0" applyNumberFormat="1" applyFont="1" applyFill="1" applyAlignment="1">
      <alignment horizontal="left" vertical="center"/>
    </xf>
    <xf numFmtId="171" fontId="17" fillId="3" borderId="0" xfId="1" applyNumberFormat="1" applyFont="1" applyFill="1" applyAlignment="1" applyProtection="1">
      <alignment vertical="center"/>
    </xf>
    <xf numFmtId="171" fontId="17" fillId="3" borderId="0" xfId="1" applyNumberFormat="1" applyFont="1" applyFill="1" applyBorder="1" applyAlignment="1" applyProtection="1">
      <alignment vertical="center"/>
    </xf>
    <xf numFmtId="165" fontId="22" fillId="3" borderId="16" xfId="0" applyNumberFormat="1" applyFont="1" applyFill="1" applyBorder="1" applyAlignment="1">
      <alignment horizontal="center" vertical="center"/>
    </xf>
    <xf numFmtId="0" fontId="15" fillId="3" borderId="24" xfId="0" applyFont="1" applyFill="1" applyBorder="1"/>
    <xf numFmtId="170" fontId="15" fillId="3" borderId="1" xfId="0" applyNumberFormat="1" applyFont="1" applyFill="1" applyBorder="1"/>
    <xf numFmtId="43" fontId="17" fillId="3" borderId="0" xfId="1" applyFont="1" applyFill="1" applyAlignment="1">
      <alignment horizontal="left" vertical="center"/>
    </xf>
    <xf numFmtId="0" fontId="17" fillId="3" borderId="16" xfId="0" applyFont="1" applyFill="1" applyBorder="1" applyAlignment="1">
      <alignment horizontal="center" vertical="center"/>
    </xf>
    <xf numFmtId="171" fontId="17" fillId="3" borderId="0" xfId="0" applyNumberFormat="1" applyFont="1" applyFill="1" applyAlignment="1">
      <alignment vertical="center"/>
    </xf>
    <xf numFmtId="10" fontId="17" fillId="3" borderId="16" xfId="3" applyNumberFormat="1" applyFont="1" applyFill="1" applyBorder="1" applyAlignment="1" applyProtection="1">
      <alignment horizontal="center" vertical="center"/>
    </xf>
    <xf numFmtId="10" fontId="24" fillId="3" borderId="16" xfId="3" applyNumberFormat="1" applyFont="1" applyFill="1" applyBorder="1" applyAlignment="1" applyProtection="1">
      <alignment horizontal="center" vertical="center"/>
    </xf>
    <xf numFmtId="171" fontId="15" fillId="3" borderId="13" xfId="0" applyNumberFormat="1" applyFont="1" applyFill="1" applyBorder="1" applyAlignment="1">
      <alignment horizontal="left" vertical="center"/>
    </xf>
    <xf numFmtId="0" fontId="15" fillId="3" borderId="16" xfId="0" applyFont="1" applyFill="1" applyBorder="1" applyAlignment="1">
      <alignment horizontal="center" vertical="center"/>
    </xf>
    <xf numFmtId="171" fontId="22" fillId="3" borderId="25" xfId="0" applyNumberFormat="1" applyFont="1" applyFill="1" applyBorder="1" applyAlignment="1">
      <alignment horizontal="left" vertical="center"/>
    </xf>
    <xf numFmtId="171" fontId="15" fillId="3" borderId="26" xfId="0" applyNumberFormat="1" applyFont="1" applyFill="1" applyBorder="1" applyAlignment="1">
      <alignment horizontal="left" vertical="center"/>
    </xf>
    <xf numFmtId="171" fontId="15" fillId="3" borderId="27" xfId="0" applyNumberFormat="1" applyFont="1" applyFill="1" applyBorder="1" applyAlignment="1">
      <alignment vertical="center"/>
    </xf>
    <xf numFmtId="171" fontId="15" fillId="3" borderId="14" xfId="0" applyNumberFormat="1" applyFont="1" applyFill="1" applyBorder="1" applyAlignment="1">
      <alignment vertical="center"/>
    </xf>
    <xf numFmtId="0" fontId="15" fillId="3" borderId="28" xfId="0" applyFont="1" applyFill="1" applyBorder="1" applyAlignment="1">
      <alignment vertical="center"/>
    </xf>
    <xf numFmtId="3" fontId="26" fillId="3" borderId="16" xfId="1" applyNumberFormat="1" applyFont="1" applyFill="1" applyBorder="1" applyAlignment="1" applyProtection="1">
      <alignment horizontal="center" vertical="center"/>
    </xf>
    <xf numFmtId="17" fontId="17" fillId="3" borderId="0" xfId="0" applyNumberFormat="1" applyFont="1" applyFill="1" applyAlignment="1">
      <alignment horizontal="center" vertical="center"/>
    </xf>
    <xf numFmtId="165" fontId="17" fillId="3" borderId="16" xfId="3" applyNumberFormat="1" applyFont="1" applyFill="1" applyBorder="1" applyAlignment="1" applyProtection="1">
      <alignment horizontal="center" vertical="center"/>
    </xf>
    <xf numFmtId="43" fontId="17" fillId="3" borderId="0" xfId="1" applyFont="1" applyFill="1" applyAlignment="1" applyProtection="1">
      <alignment vertical="center"/>
    </xf>
    <xf numFmtId="43" fontId="15" fillId="3" borderId="0" xfId="1" applyFont="1" applyFill="1" applyAlignment="1" applyProtection="1">
      <alignment horizontal="left" vertical="center"/>
    </xf>
    <xf numFmtId="43" fontId="15" fillId="3" borderId="0" xfId="1" applyFont="1" applyFill="1" applyAlignment="1" applyProtection="1">
      <alignment horizontal="right" vertical="center"/>
    </xf>
    <xf numFmtId="165" fontId="22" fillId="3" borderId="0" xfId="3" applyNumberFormat="1" applyFont="1" applyFill="1" applyBorder="1" applyAlignment="1" applyProtection="1">
      <alignment horizontal="center" vertical="center"/>
    </xf>
    <xf numFmtId="173" fontId="22" fillId="7" borderId="0" xfId="7" applyNumberFormat="1" applyFont="1" applyFill="1" applyAlignment="1">
      <alignment horizontal="center" vertical="center"/>
    </xf>
    <xf numFmtId="43" fontId="15" fillId="3" borderId="0" xfId="1" applyFont="1" applyFill="1" applyBorder="1" applyAlignment="1" applyProtection="1">
      <alignment vertical="center"/>
    </xf>
    <xf numFmtId="164" fontId="15" fillId="3" borderId="0" xfId="0" applyNumberFormat="1" applyFont="1" applyFill="1" applyAlignment="1">
      <alignment horizontal="center" vertical="center"/>
    </xf>
    <xf numFmtId="164" fontId="15" fillId="8" borderId="29" xfId="0" applyNumberFormat="1" applyFont="1" applyFill="1" applyBorder="1"/>
    <xf numFmtId="0" fontId="29" fillId="3" borderId="0" xfId="0" applyFont="1" applyFill="1" applyAlignment="1">
      <alignment vertical="center"/>
    </xf>
    <xf numFmtId="0" fontId="15" fillId="3" borderId="0" xfId="0" applyFont="1" applyFill="1" applyAlignment="1" applyProtection="1">
      <alignment horizontal="center" vertical="center"/>
      <protection locked="0"/>
    </xf>
    <xf numFmtId="172" fontId="17" fillId="3" borderId="1" xfId="0" applyNumberFormat="1" applyFont="1" applyFill="1" applyBorder="1" applyAlignment="1">
      <alignment horizontal="center" vertical="center"/>
    </xf>
    <xf numFmtId="166" fontId="30" fillId="3" borderId="0" xfId="0" applyNumberFormat="1" applyFont="1" applyFill="1" applyAlignment="1">
      <alignment vertical="center"/>
    </xf>
    <xf numFmtId="43" fontId="17" fillId="3" borderId="4" xfId="1" applyFont="1" applyFill="1" applyBorder="1" applyAlignment="1" applyProtection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left" vertical="center"/>
    </xf>
    <xf numFmtId="43" fontId="18" fillId="3" borderId="0" xfId="1" applyFont="1" applyFill="1" applyAlignment="1" applyProtection="1">
      <alignment horizontal="center"/>
    </xf>
    <xf numFmtId="17" fontId="22" fillId="3" borderId="0" xfId="0" applyNumberFormat="1" applyFont="1" applyFill="1" applyAlignment="1">
      <alignment vertical="center"/>
    </xf>
    <xf numFmtId="164" fontId="18" fillId="3" borderId="0" xfId="0" applyNumberFormat="1" applyFont="1" applyFill="1" applyAlignment="1">
      <alignment vertical="center"/>
    </xf>
    <xf numFmtId="0" fontId="26" fillId="3" borderId="0" xfId="0" applyFont="1" applyFill="1" applyAlignment="1">
      <alignment horizontal="center" vertical="center"/>
    </xf>
    <xf numFmtId="43" fontId="22" fillId="3" borderId="0" xfId="1" applyFont="1" applyFill="1" applyProtection="1"/>
    <xf numFmtId="0" fontId="26" fillId="3" borderId="0" xfId="0" applyFont="1" applyFill="1" applyAlignment="1">
      <alignment vertical="center"/>
    </xf>
    <xf numFmtId="17" fontId="22" fillId="3" borderId="0" xfId="0" applyNumberFormat="1" applyFont="1" applyFill="1"/>
    <xf numFmtId="164" fontId="15" fillId="3" borderId="0" xfId="0" applyNumberFormat="1" applyFont="1" applyFill="1"/>
    <xf numFmtId="164" fontId="18" fillId="3" borderId="0" xfId="0" applyNumberFormat="1" applyFont="1" applyFill="1"/>
    <xf numFmtId="0" fontId="18" fillId="3" borderId="0" xfId="0" applyFont="1" applyFill="1"/>
    <xf numFmtId="17" fontId="15" fillId="3" borderId="0" xfId="0" applyNumberFormat="1" applyFont="1" applyFill="1"/>
    <xf numFmtId="0" fontId="15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169" fontId="15" fillId="3" borderId="2" xfId="0" applyNumberFormat="1" applyFont="1" applyFill="1" applyBorder="1" applyAlignment="1">
      <alignment horizontal="right"/>
    </xf>
    <xf numFmtId="174" fontId="31" fillId="3" borderId="0" xfId="7" applyNumberFormat="1" applyFont="1" applyFill="1" applyAlignment="1">
      <alignment vertical="top" wrapText="1"/>
    </xf>
    <xf numFmtId="164" fontId="22" fillId="3" borderId="2" xfId="8" applyFont="1" applyFill="1" applyBorder="1" applyProtection="1"/>
    <xf numFmtId="43" fontId="15" fillId="3" borderId="2" xfId="1" applyFont="1" applyFill="1" applyBorder="1" applyProtection="1"/>
    <xf numFmtId="175" fontId="15" fillId="3" borderId="2" xfId="1" applyNumberFormat="1" applyFont="1" applyFill="1" applyBorder="1" applyProtection="1"/>
    <xf numFmtId="165" fontId="15" fillId="3" borderId="2" xfId="3" applyNumberFormat="1" applyFont="1" applyFill="1" applyBorder="1" applyAlignment="1" applyProtection="1">
      <alignment horizontal="center"/>
    </xf>
    <xf numFmtId="43" fontId="15" fillId="3" borderId="1" xfId="1" applyFont="1" applyFill="1" applyBorder="1" applyProtection="1"/>
    <xf numFmtId="43" fontId="15" fillId="3" borderId="19" xfId="1" applyFont="1" applyFill="1" applyBorder="1" applyProtection="1"/>
    <xf numFmtId="10" fontId="15" fillId="3" borderId="19" xfId="3" applyNumberFormat="1" applyFont="1" applyFill="1" applyBorder="1" applyAlignment="1" applyProtection="1">
      <alignment horizontal="center"/>
    </xf>
    <xf numFmtId="169" fontId="15" fillId="3" borderId="1" xfId="0" applyNumberFormat="1" applyFont="1" applyFill="1" applyBorder="1" applyAlignment="1">
      <alignment horizontal="right"/>
    </xf>
    <xf numFmtId="174" fontId="22" fillId="3" borderId="29" xfId="0" applyNumberFormat="1" applyFont="1" applyFill="1" applyBorder="1" applyAlignment="1">
      <alignment vertical="top" wrapText="1"/>
    </xf>
    <xf numFmtId="174" fontId="22" fillId="3" borderId="0" xfId="0" applyNumberFormat="1" applyFont="1" applyFill="1" applyAlignment="1">
      <alignment vertical="top" wrapText="1"/>
    </xf>
    <xf numFmtId="175" fontId="15" fillId="3" borderId="1" xfId="1" applyNumberFormat="1" applyFont="1" applyFill="1" applyBorder="1" applyProtection="1"/>
    <xf numFmtId="165" fontId="15" fillId="3" borderId="1" xfId="3" applyNumberFormat="1" applyFont="1" applyFill="1" applyBorder="1" applyAlignment="1" applyProtection="1">
      <alignment horizontal="center"/>
    </xf>
    <xf numFmtId="43" fontId="15" fillId="3" borderId="23" xfId="1" applyFont="1" applyFill="1" applyBorder="1" applyProtection="1"/>
    <xf numFmtId="10" fontId="15" fillId="3" borderId="23" xfId="3" applyNumberFormat="1" applyFont="1" applyFill="1" applyBorder="1" applyAlignment="1" applyProtection="1">
      <alignment horizontal="center"/>
    </xf>
    <xf numFmtId="169" fontId="15" fillId="3" borderId="0" xfId="0" applyNumberFormat="1" applyFont="1" applyFill="1" applyAlignment="1">
      <alignment horizontal="right"/>
    </xf>
    <xf numFmtId="0" fontId="6" fillId="3" borderId="0" xfId="0" applyFont="1" applyFill="1" applyAlignment="1">
      <alignment horizontal="left" indent="2"/>
    </xf>
    <xf numFmtId="43" fontId="15" fillId="3" borderId="1" xfId="1" applyFont="1" applyFill="1" applyBorder="1" applyAlignment="1">
      <alignment horizontal="center" vertical="center"/>
    </xf>
    <xf numFmtId="164" fontId="11" fillId="5" borderId="1" xfId="6" applyFont="1" applyFill="1" applyBorder="1"/>
    <xf numFmtId="10" fontId="11" fillId="3" borderId="0" xfId="3" applyNumberFormat="1" applyFont="1" applyFill="1"/>
    <xf numFmtId="164" fontId="11" fillId="3" borderId="0" xfId="6" applyFont="1" applyFill="1" applyBorder="1"/>
    <xf numFmtId="164" fontId="11" fillId="0" borderId="1" xfId="6" applyFont="1" applyFill="1" applyBorder="1"/>
    <xf numFmtId="0" fontId="6" fillId="3" borderId="1" xfId="0" applyFont="1" applyFill="1" applyBorder="1"/>
    <xf numFmtId="164" fontId="6" fillId="3" borderId="1" xfId="0" applyNumberFormat="1" applyFont="1" applyFill="1" applyBorder="1"/>
    <xf numFmtId="43" fontId="6" fillId="3" borderId="1" xfId="0" applyNumberFormat="1" applyFont="1" applyFill="1" applyBorder="1"/>
    <xf numFmtId="43" fontId="32" fillId="3" borderId="4" xfId="0" applyNumberFormat="1" applyFont="1" applyFill="1" applyBorder="1"/>
    <xf numFmtId="164" fontId="5" fillId="3" borderId="1" xfId="6" applyFont="1" applyFill="1" applyBorder="1" applyAlignment="1">
      <alignment horizontal="center"/>
    </xf>
    <xf numFmtId="0" fontId="6" fillId="3" borderId="0" xfId="0" applyFont="1" applyFill="1" applyAlignment="1">
      <alignment horizontal="left" vertical="center"/>
    </xf>
    <xf numFmtId="0" fontId="5" fillId="3" borderId="4" xfId="0" applyFont="1" applyFill="1" applyBorder="1" applyAlignment="1">
      <alignment horizontal="center"/>
    </xf>
    <xf numFmtId="164" fontId="4" fillId="2" borderId="1" xfId="4" applyFont="1" applyFill="1" applyBorder="1" applyAlignment="1">
      <alignment horizontal="center" vertical="center" wrapText="1"/>
    </xf>
    <xf numFmtId="164" fontId="4" fillId="2" borderId="1" xfId="4" applyFont="1" applyFill="1" applyBorder="1" applyAlignment="1">
      <alignment horizontal="center" vertical="center"/>
    </xf>
    <xf numFmtId="164" fontId="4" fillId="2" borderId="2" xfId="4" applyFont="1" applyFill="1" applyBorder="1" applyAlignment="1">
      <alignment horizontal="center" vertical="center" wrapText="1"/>
    </xf>
    <xf numFmtId="164" fontId="4" fillId="2" borderId="3" xfId="4" applyFont="1" applyFill="1" applyBorder="1" applyAlignment="1">
      <alignment horizontal="center" vertical="center" wrapText="1"/>
    </xf>
    <xf numFmtId="164" fontId="8" fillId="3" borderId="2" xfId="4" applyFont="1" applyFill="1" applyBorder="1" applyAlignment="1">
      <alignment horizontal="center" vertical="center" wrapText="1"/>
    </xf>
    <xf numFmtId="164" fontId="8" fillId="3" borderId="3" xfId="4" applyFont="1" applyFill="1" applyBorder="1" applyAlignment="1">
      <alignment horizontal="center" vertical="center" wrapText="1"/>
    </xf>
    <xf numFmtId="164" fontId="8" fillId="3" borderId="1" xfId="4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9" fontId="8" fillId="3" borderId="1" xfId="4" applyNumberFormat="1" applyFont="1" applyFill="1" applyBorder="1" applyAlignment="1">
      <alignment horizontal="center" vertical="center" wrapText="1"/>
    </xf>
    <xf numFmtId="164" fontId="11" fillId="3" borderId="23" xfId="4" applyFont="1" applyFill="1" applyBorder="1" applyAlignment="1">
      <alignment horizontal="center" vertical="center"/>
    </xf>
    <xf numFmtId="164" fontId="11" fillId="3" borderId="30" xfId="4" applyFont="1" applyFill="1" applyBorder="1" applyAlignment="1">
      <alignment horizontal="center" vertical="center"/>
    </xf>
    <xf numFmtId="164" fontId="11" fillId="3" borderId="24" xfId="4" applyFont="1" applyFill="1" applyBorder="1" applyAlignment="1">
      <alignment horizontal="center" vertical="center"/>
    </xf>
    <xf numFmtId="9" fontId="4" fillId="2" borderId="1" xfId="4" applyNumberFormat="1" applyFont="1" applyFill="1" applyBorder="1" applyAlignment="1">
      <alignment horizontal="center" vertical="center" wrapText="1"/>
    </xf>
    <xf numFmtId="165" fontId="4" fillId="2" borderId="1" xfId="4" applyNumberFormat="1" applyFont="1" applyFill="1" applyBorder="1" applyAlignment="1">
      <alignment horizontal="center" vertical="center" wrapText="1"/>
    </xf>
    <xf numFmtId="165" fontId="4" fillId="2" borderId="2" xfId="4" applyNumberFormat="1" applyFont="1" applyFill="1" applyBorder="1" applyAlignment="1">
      <alignment horizontal="center" vertical="center" wrapText="1"/>
    </xf>
    <xf numFmtId="165" fontId="4" fillId="2" borderId="3" xfId="4" applyNumberFormat="1" applyFont="1" applyFill="1" applyBorder="1" applyAlignment="1">
      <alignment horizontal="center" vertical="center" wrapText="1"/>
    </xf>
    <xf numFmtId="164" fontId="11" fillId="3" borderId="1" xfId="4" applyFont="1" applyFill="1" applyBorder="1" applyAlignment="1">
      <alignment horizontal="center" vertical="center"/>
    </xf>
    <xf numFmtId="168" fontId="15" fillId="3" borderId="6" xfId="0" applyNumberFormat="1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9" xfId="0" applyFont="1" applyFill="1" applyBorder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8" fillId="6" borderId="15" xfId="0" applyFont="1" applyFill="1" applyBorder="1" applyAlignment="1">
      <alignment horizontal="left" vertical="center"/>
    </xf>
    <xf numFmtId="0" fontId="15" fillId="3" borderId="16" xfId="0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 vertical="center"/>
    </xf>
    <xf numFmtId="2" fontId="22" fillId="3" borderId="13" xfId="0" applyNumberFormat="1" applyFont="1" applyFill="1" applyBorder="1" applyAlignment="1">
      <alignment horizontal="center" vertical="center"/>
    </xf>
    <xf numFmtId="2" fontId="15" fillId="3" borderId="12" xfId="0" applyNumberFormat="1" applyFont="1" applyFill="1" applyBorder="1" applyAlignment="1">
      <alignment horizontal="center" vertical="center"/>
    </xf>
    <xf numFmtId="2" fontId="15" fillId="3" borderId="13" xfId="0" applyNumberFormat="1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vertical="center"/>
    </xf>
    <xf numFmtId="0" fontId="15" fillId="3" borderId="14" xfId="0" applyFont="1" applyFill="1" applyBorder="1" applyAlignment="1">
      <alignment vertical="center"/>
    </xf>
    <xf numFmtId="2" fontId="15" fillId="3" borderId="12" xfId="1" applyNumberFormat="1" applyFont="1" applyFill="1" applyBorder="1" applyAlignment="1" applyProtection="1">
      <alignment horizontal="center" vertical="center"/>
    </xf>
    <xf numFmtId="2" fontId="15" fillId="3" borderId="13" xfId="1" applyNumberFormat="1" applyFont="1" applyFill="1" applyBorder="1" applyAlignment="1" applyProtection="1">
      <alignment horizontal="center" vertical="center"/>
    </xf>
    <xf numFmtId="171" fontId="15" fillId="3" borderId="13" xfId="1" applyNumberFormat="1" applyFont="1" applyFill="1" applyBorder="1" applyAlignment="1" applyProtection="1">
      <alignment horizontal="left" vertical="center"/>
    </xf>
    <xf numFmtId="171" fontId="15" fillId="3" borderId="14" xfId="1" applyNumberFormat="1" applyFont="1" applyFill="1" applyBorder="1" applyAlignment="1" applyProtection="1">
      <alignment horizontal="left" vertical="center"/>
    </xf>
    <xf numFmtId="171" fontId="17" fillId="3" borderId="13" xfId="1" applyNumberFormat="1" applyFont="1" applyFill="1" applyBorder="1" applyAlignment="1" applyProtection="1">
      <alignment horizontal="left" vertical="center"/>
    </xf>
    <xf numFmtId="171" fontId="17" fillId="3" borderId="14" xfId="1" applyNumberFormat="1" applyFont="1" applyFill="1" applyBorder="1" applyAlignment="1" applyProtection="1">
      <alignment horizontal="left" vertical="center"/>
    </xf>
    <xf numFmtId="0" fontId="15" fillId="3" borderId="1" xfId="0" applyFont="1" applyFill="1" applyBorder="1" applyAlignment="1">
      <alignment horizontal="center" vertical="center"/>
    </xf>
    <xf numFmtId="171" fontId="15" fillId="3" borderId="1" xfId="0" applyNumberFormat="1" applyFont="1" applyFill="1" applyBorder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2" fontId="22" fillId="3" borderId="12" xfId="1" applyNumberFormat="1" applyFont="1" applyFill="1" applyBorder="1" applyAlignment="1" applyProtection="1">
      <alignment horizontal="center" vertical="center"/>
    </xf>
    <xf numFmtId="2" fontId="22" fillId="3" borderId="13" xfId="1" applyNumberFormat="1" applyFont="1" applyFill="1" applyBorder="1" applyAlignment="1" applyProtection="1">
      <alignment horizontal="center" vertical="center"/>
    </xf>
    <xf numFmtId="0" fontId="18" fillId="3" borderId="15" xfId="0" applyFont="1" applyFill="1" applyBorder="1" applyAlignment="1">
      <alignment horizontal="left" vertical="center"/>
    </xf>
    <xf numFmtId="171" fontId="26" fillId="3" borderId="13" xfId="1" applyNumberFormat="1" applyFont="1" applyFill="1" applyBorder="1" applyAlignment="1" applyProtection="1">
      <alignment horizontal="left" vertical="center"/>
    </xf>
    <xf numFmtId="171" fontId="26" fillId="3" borderId="14" xfId="1" applyNumberFormat="1" applyFont="1" applyFill="1" applyBorder="1" applyAlignment="1" applyProtection="1">
      <alignment horizontal="left" vertical="center"/>
    </xf>
    <xf numFmtId="0" fontId="16" fillId="6" borderId="1" xfId="0" applyFont="1" applyFill="1" applyBorder="1" applyAlignment="1">
      <alignment horizontal="center" vertical="center"/>
    </xf>
    <xf numFmtId="14" fontId="16" fillId="6" borderId="1" xfId="0" applyNumberFormat="1" applyFont="1" applyFill="1" applyBorder="1" applyAlignment="1">
      <alignment horizontal="center" vertical="center"/>
    </xf>
    <xf numFmtId="0" fontId="16" fillId="6" borderId="19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171" fontId="15" fillId="3" borderId="12" xfId="0" applyNumberFormat="1" applyFont="1" applyFill="1" applyBorder="1" applyAlignment="1">
      <alignment horizontal="left" vertical="center"/>
    </xf>
    <xf numFmtId="171" fontId="15" fillId="3" borderId="13" xfId="0" applyNumberFormat="1" applyFont="1" applyFill="1" applyBorder="1" applyAlignment="1">
      <alignment horizontal="left" vertical="center"/>
    </xf>
    <xf numFmtId="171" fontId="15" fillId="3" borderId="14" xfId="0" applyNumberFormat="1" applyFont="1" applyFill="1" applyBorder="1" applyAlignment="1">
      <alignment horizontal="left" vertical="center"/>
    </xf>
    <xf numFmtId="0" fontId="18" fillId="3" borderId="0" xfId="0" applyFont="1" applyFill="1" applyAlignment="1">
      <alignment horizontal="center"/>
    </xf>
    <xf numFmtId="170" fontId="15" fillId="3" borderId="23" xfId="0" applyNumberFormat="1" applyFont="1" applyFill="1" applyBorder="1" applyAlignment="1">
      <alignment horizontal="center"/>
    </xf>
    <xf numFmtId="170" fontId="15" fillId="3" borderId="24" xfId="0" applyNumberFormat="1" applyFont="1" applyFill="1" applyBorder="1" applyAlignment="1">
      <alignment horizontal="center"/>
    </xf>
    <xf numFmtId="0" fontId="19" fillId="3" borderId="0" xfId="0" applyFont="1" applyFill="1" applyAlignment="1">
      <alignment horizontal="center"/>
    </xf>
    <xf numFmtId="171" fontId="17" fillId="3" borderId="12" xfId="0" applyNumberFormat="1" applyFont="1" applyFill="1" applyBorder="1" applyAlignment="1">
      <alignment horizontal="left" vertical="center"/>
    </xf>
    <xf numFmtId="171" fontId="17" fillId="3" borderId="13" xfId="0" applyNumberFormat="1" applyFont="1" applyFill="1" applyBorder="1" applyAlignment="1">
      <alignment horizontal="left" vertical="center"/>
    </xf>
    <xf numFmtId="171" fontId="17" fillId="3" borderId="14" xfId="0" applyNumberFormat="1" applyFont="1" applyFill="1" applyBorder="1" applyAlignment="1">
      <alignment horizontal="left" vertical="center"/>
    </xf>
    <xf numFmtId="0" fontId="18" fillId="6" borderId="17" xfId="0" applyFont="1" applyFill="1" applyBorder="1" applyAlignment="1">
      <alignment horizontal="left" vertical="center"/>
    </xf>
    <xf numFmtId="171" fontId="15" fillId="3" borderId="13" xfId="0" applyNumberFormat="1" applyFont="1" applyFill="1" applyBorder="1" applyAlignment="1">
      <alignment horizontal="center" vertical="center"/>
    </xf>
    <xf numFmtId="171" fontId="15" fillId="3" borderId="14" xfId="0" applyNumberFormat="1" applyFont="1" applyFill="1" applyBorder="1" applyAlignment="1">
      <alignment horizontal="center" vertical="center"/>
    </xf>
    <xf numFmtId="0" fontId="16" fillId="6" borderId="0" xfId="0" applyFont="1" applyFill="1" applyAlignment="1">
      <alignment horizontal="left" vertical="center"/>
    </xf>
    <xf numFmtId="171" fontId="22" fillId="3" borderId="1" xfId="0" applyNumberFormat="1" applyFont="1" applyFill="1" applyBorder="1" applyAlignment="1">
      <alignment horizontal="center" vertical="center"/>
    </xf>
    <xf numFmtId="43" fontId="15" fillId="3" borderId="1" xfId="1" applyFont="1" applyFill="1" applyBorder="1" applyAlignment="1">
      <alignment horizontal="center" vertical="center"/>
    </xf>
    <xf numFmtId="43" fontId="22" fillId="3" borderId="1" xfId="1" applyFont="1" applyFill="1" applyBorder="1" applyAlignment="1">
      <alignment horizontal="center" vertical="center"/>
    </xf>
    <xf numFmtId="164" fontId="15" fillId="3" borderId="0" xfId="0" applyNumberFormat="1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center" vertical="center" wrapText="1"/>
    </xf>
    <xf numFmtId="171" fontId="15" fillId="3" borderId="0" xfId="0" applyNumberFormat="1" applyFont="1" applyFill="1" applyAlignment="1">
      <alignment horizontal="center" vertical="center" wrapText="1"/>
    </xf>
    <xf numFmtId="171" fontId="22" fillId="3" borderId="23" xfId="0" applyNumberFormat="1" applyFont="1" applyFill="1" applyBorder="1" applyAlignment="1">
      <alignment horizontal="center" vertical="center"/>
    </xf>
    <xf numFmtId="171" fontId="22" fillId="3" borderId="24" xfId="0" applyNumberFormat="1" applyFont="1" applyFill="1" applyBorder="1" applyAlignment="1">
      <alignment horizontal="center" vertical="center"/>
    </xf>
    <xf numFmtId="0" fontId="15" fillId="3" borderId="0" xfId="0" applyFont="1" applyFill="1" applyAlignment="1" applyProtection="1">
      <alignment horizontal="center" vertical="center"/>
      <protection locked="0"/>
    </xf>
    <xf numFmtId="43" fontId="15" fillId="3" borderId="0" xfId="1" applyFont="1" applyFill="1" applyAlignment="1" applyProtection="1">
      <alignment horizontal="center" vertical="center"/>
    </xf>
    <xf numFmtId="0" fontId="15" fillId="3" borderId="0" xfId="0" applyFont="1" applyFill="1" applyAlignment="1">
      <alignment horizontal="center" vertical="center"/>
    </xf>
    <xf numFmtId="43" fontId="17" fillId="3" borderId="4" xfId="1" applyFont="1" applyFill="1" applyBorder="1" applyAlignment="1" applyProtection="1">
      <alignment horizontal="center" vertical="center"/>
    </xf>
    <xf numFmtId="43" fontId="17" fillId="3" borderId="7" xfId="1" applyFont="1" applyFill="1" applyBorder="1" applyAlignment="1" applyProtection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center" vertical="center"/>
    </xf>
    <xf numFmtId="171" fontId="17" fillId="3" borderId="1" xfId="1" applyNumberFormat="1" applyFont="1" applyFill="1" applyBorder="1" applyAlignment="1" applyProtection="1">
      <alignment horizontal="center" vertical="center"/>
    </xf>
    <xf numFmtId="166" fontId="30" fillId="3" borderId="23" xfId="0" applyNumberFormat="1" applyFont="1" applyFill="1" applyBorder="1" applyAlignment="1">
      <alignment horizontal="center" vertical="center"/>
    </xf>
    <xf numFmtId="166" fontId="30" fillId="3" borderId="24" xfId="0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171" fontId="17" fillId="3" borderId="0" xfId="1" applyNumberFormat="1" applyFont="1" applyFill="1" applyBorder="1" applyAlignment="1" applyProtection="1">
      <alignment horizontal="center" vertical="center"/>
    </xf>
    <xf numFmtId="168" fontId="15" fillId="3" borderId="13" xfId="0" applyNumberFormat="1" applyFont="1" applyFill="1" applyBorder="1" applyAlignment="1">
      <alignment horizontal="center"/>
    </xf>
    <xf numFmtId="168" fontId="15" fillId="3" borderId="14" xfId="0" applyNumberFormat="1" applyFont="1" applyFill="1" applyBorder="1" applyAlignment="1">
      <alignment horizontal="center"/>
    </xf>
    <xf numFmtId="0" fontId="22" fillId="3" borderId="7" xfId="0" applyFont="1" applyFill="1" applyBorder="1" applyAlignment="1">
      <alignment horizontal="center" vertical="center"/>
    </xf>
    <xf numFmtId="0" fontId="18" fillId="6" borderId="28" xfId="0" applyFont="1" applyFill="1" applyBorder="1" applyAlignment="1">
      <alignment horizontal="left" vertical="center"/>
    </xf>
    <xf numFmtId="0" fontId="18" fillId="6" borderId="42" xfId="0" applyFont="1" applyFill="1" applyBorder="1" applyAlignment="1">
      <alignment horizontal="left" vertical="center"/>
    </xf>
    <xf numFmtId="2" fontId="15" fillId="3" borderId="23" xfId="0" applyNumberFormat="1" applyFont="1" applyFill="1" applyBorder="1" applyAlignment="1">
      <alignment horizontal="center" vertical="center"/>
    </xf>
    <xf numFmtId="0" fontId="15" fillId="3" borderId="43" xfId="0" applyFont="1" applyFill="1" applyBorder="1" applyAlignment="1">
      <alignment horizontal="center" vertical="center"/>
    </xf>
    <xf numFmtId="2" fontId="15" fillId="3" borderId="14" xfId="1" applyNumberFormat="1" applyFont="1" applyFill="1" applyBorder="1" applyAlignment="1" applyProtection="1">
      <alignment horizontal="center" vertical="center"/>
    </xf>
    <xf numFmtId="172" fontId="16" fillId="6" borderId="1" xfId="0" applyNumberFormat="1" applyFont="1" applyFill="1" applyBorder="1" applyAlignment="1">
      <alignment horizontal="center" vertical="center"/>
    </xf>
    <xf numFmtId="171" fontId="15" fillId="3" borderId="1" xfId="0" applyNumberFormat="1" applyFont="1" applyFill="1" applyBorder="1" applyAlignment="1">
      <alignment horizontal="left" vertical="center"/>
    </xf>
    <xf numFmtId="171" fontId="17" fillId="3" borderId="1" xfId="0" applyNumberFormat="1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/>
    </xf>
    <xf numFmtId="171" fontId="15" fillId="3" borderId="0" xfId="0" applyNumberFormat="1" applyFont="1" applyFill="1" applyAlignment="1">
      <alignment horizontal="center" vertical="center"/>
    </xf>
    <xf numFmtId="171" fontId="26" fillId="3" borderId="1" xfId="0" applyNumberFormat="1" applyFont="1" applyFill="1" applyBorder="1" applyAlignment="1">
      <alignment horizontal="center" vertical="center"/>
    </xf>
    <xf numFmtId="171" fontId="26" fillId="3" borderId="30" xfId="0" applyNumberFormat="1" applyFont="1" applyFill="1" applyBorder="1" applyAlignment="1">
      <alignment horizontal="left" vertical="center"/>
    </xf>
    <xf numFmtId="171" fontId="26" fillId="3" borderId="24" xfId="0" applyNumberFormat="1" applyFont="1" applyFill="1" applyBorder="1" applyAlignment="1">
      <alignment horizontal="left" vertical="center"/>
    </xf>
    <xf numFmtId="0" fontId="16" fillId="6" borderId="11" xfId="0" applyFont="1" applyFill="1" applyBorder="1" applyAlignment="1">
      <alignment horizontal="left" vertical="center"/>
    </xf>
    <xf numFmtId="171" fontId="26" fillId="3" borderId="47" xfId="0" applyNumberFormat="1" applyFont="1" applyFill="1" applyBorder="1" applyAlignment="1">
      <alignment horizontal="left" vertical="center"/>
    </xf>
    <xf numFmtId="171" fontId="26" fillId="3" borderId="48" xfId="0" applyNumberFormat="1" applyFont="1" applyFill="1" applyBorder="1" applyAlignment="1">
      <alignment horizontal="left" vertical="center"/>
    </xf>
    <xf numFmtId="171" fontId="26" fillId="3" borderId="49" xfId="0" applyNumberFormat="1" applyFont="1" applyFill="1" applyBorder="1" applyAlignment="1">
      <alignment horizontal="left" vertical="center"/>
    </xf>
    <xf numFmtId="171" fontId="22" fillId="3" borderId="51" xfId="0" applyNumberFormat="1" applyFont="1" applyFill="1" applyBorder="1" applyAlignment="1">
      <alignment horizontal="left" vertical="center"/>
    </xf>
    <xf numFmtId="171" fontId="22" fillId="3" borderId="52" xfId="0" applyNumberFormat="1" applyFont="1" applyFill="1" applyBorder="1" applyAlignment="1">
      <alignment horizontal="left" vertical="center"/>
    </xf>
    <xf numFmtId="171" fontId="22" fillId="3" borderId="53" xfId="0" applyNumberFormat="1" applyFont="1" applyFill="1" applyBorder="1" applyAlignment="1">
      <alignment horizontal="left" vertical="center"/>
    </xf>
    <xf numFmtId="171" fontId="22" fillId="3" borderId="30" xfId="0" applyNumberFormat="1" applyFont="1" applyFill="1" applyBorder="1" applyAlignment="1">
      <alignment horizontal="left" vertical="center"/>
    </xf>
    <xf numFmtId="171" fontId="22" fillId="3" borderId="24" xfId="0" applyNumberFormat="1" applyFont="1" applyFill="1" applyBorder="1" applyAlignment="1">
      <alignment horizontal="left" vertical="center"/>
    </xf>
    <xf numFmtId="43" fontId="17" fillId="3" borderId="0" xfId="1" applyFont="1" applyFill="1" applyBorder="1" applyAlignment="1" applyProtection="1">
      <alignment horizontal="center" vertical="center"/>
    </xf>
    <xf numFmtId="171" fontId="22" fillId="3" borderId="23" xfId="0" applyNumberFormat="1" applyFont="1" applyFill="1" applyBorder="1" applyAlignment="1">
      <alignment horizontal="left" vertical="center"/>
    </xf>
    <xf numFmtId="171" fontId="26" fillId="3" borderId="54" xfId="0" applyNumberFormat="1" applyFont="1" applyFill="1" applyBorder="1" applyAlignment="1">
      <alignment horizontal="left" vertical="center"/>
    </xf>
    <xf numFmtId="171" fontId="22" fillId="3" borderId="54" xfId="0" applyNumberFormat="1" applyFont="1" applyFill="1" applyBorder="1" applyAlignment="1">
      <alignment horizontal="left" vertical="center"/>
    </xf>
    <xf numFmtId="171" fontId="22" fillId="3" borderId="1" xfId="0" applyNumberFormat="1" applyFont="1" applyFill="1" applyBorder="1" applyAlignment="1">
      <alignment horizontal="left" vertical="center"/>
    </xf>
    <xf numFmtId="168" fontId="15" fillId="3" borderId="6" xfId="0" applyNumberFormat="1" applyFont="1" applyFill="1" applyBorder="1" applyAlignment="1">
      <alignment horizontal="center"/>
    </xf>
    <xf numFmtId="0" fontId="15" fillId="3" borderId="13" xfId="0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0" fontId="22" fillId="3" borderId="0" xfId="0" applyFont="1" applyFill="1" applyAlignment="1">
      <alignment horizontal="center" vertical="center"/>
    </xf>
    <xf numFmtId="0" fontId="15" fillId="3" borderId="33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/>
    </xf>
    <xf numFmtId="2" fontId="15" fillId="3" borderId="1" xfId="0" applyNumberFormat="1" applyFont="1" applyFill="1" applyBorder="1" applyAlignment="1">
      <alignment horizontal="right" vertical="center"/>
    </xf>
    <xf numFmtId="0" fontId="15" fillId="3" borderId="1" xfId="0" applyFont="1" applyFill="1" applyBorder="1" applyAlignment="1">
      <alignment horizontal="right" vertical="center"/>
    </xf>
    <xf numFmtId="43" fontId="15" fillId="3" borderId="1" xfId="1" applyFont="1" applyFill="1" applyBorder="1" applyAlignment="1" applyProtection="1">
      <alignment horizontal="right" vertical="center"/>
    </xf>
    <xf numFmtId="0" fontId="15" fillId="3" borderId="35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43" fontId="15" fillId="3" borderId="31" xfId="1" applyFont="1" applyFill="1" applyBorder="1" applyAlignment="1" applyProtection="1">
      <alignment horizontal="right" vertical="center"/>
    </xf>
    <xf numFmtId="43" fontId="15" fillId="3" borderId="57" xfId="1" applyFont="1" applyFill="1" applyBorder="1" applyAlignment="1" applyProtection="1">
      <alignment horizontal="right" vertical="center"/>
    </xf>
    <xf numFmtId="171" fontId="26" fillId="3" borderId="25" xfId="1" applyNumberFormat="1" applyFont="1" applyFill="1" applyBorder="1" applyAlignment="1" applyProtection="1">
      <alignment horizontal="left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171" fontId="22" fillId="3" borderId="13" xfId="1" applyNumberFormat="1" applyFont="1" applyFill="1" applyBorder="1" applyAlignment="1" applyProtection="1">
      <alignment horizontal="left" vertical="center"/>
    </xf>
    <xf numFmtId="171" fontId="22" fillId="3" borderId="25" xfId="1" applyNumberFormat="1" applyFont="1" applyFill="1" applyBorder="1" applyAlignment="1" applyProtection="1">
      <alignment horizontal="left" vertical="center"/>
    </xf>
    <xf numFmtId="171" fontId="22" fillId="3" borderId="12" xfId="1" applyNumberFormat="1" applyFont="1" applyFill="1" applyBorder="1" applyAlignment="1" applyProtection="1">
      <alignment horizontal="left" vertical="center"/>
    </xf>
    <xf numFmtId="171" fontId="22" fillId="3" borderId="14" xfId="1" applyNumberFormat="1" applyFont="1" applyFill="1" applyBorder="1" applyAlignment="1" applyProtection="1">
      <alignment horizontal="left" vertical="center"/>
    </xf>
    <xf numFmtId="176" fontId="15" fillId="3" borderId="23" xfId="0" applyNumberFormat="1" applyFont="1" applyFill="1" applyBorder="1" applyAlignment="1">
      <alignment horizontal="center" vertical="center"/>
    </xf>
    <xf numFmtId="176" fontId="15" fillId="3" borderId="30" xfId="0" applyNumberFormat="1" applyFont="1" applyFill="1" applyBorder="1" applyAlignment="1">
      <alignment horizontal="center" vertical="center"/>
    </xf>
    <xf numFmtId="176" fontId="15" fillId="3" borderId="24" xfId="0" applyNumberFormat="1" applyFont="1" applyFill="1" applyBorder="1" applyAlignment="1">
      <alignment horizontal="center" vertical="center"/>
    </xf>
    <xf numFmtId="171" fontId="17" fillId="3" borderId="0" xfId="0" applyNumberFormat="1" applyFont="1" applyFill="1" applyAlignment="1">
      <alignment horizontal="center" vertical="center"/>
    </xf>
    <xf numFmtId="176" fontId="17" fillId="3" borderId="0" xfId="0" applyNumberFormat="1" applyFont="1" applyFill="1" applyAlignment="1">
      <alignment horizontal="center" vertical="center"/>
    </xf>
    <xf numFmtId="168" fontId="15" fillId="3" borderId="30" xfId="0" applyNumberFormat="1" applyFont="1" applyFill="1" applyBorder="1" applyAlignment="1">
      <alignment horizontal="left" vertical="center"/>
    </xf>
    <xf numFmtId="0" fontId="15" fillId="3" borderId="30" xfId="0" applyFont="1" applyFill="1" applyBorder="1" applyAlignment="1">
      <alignment horizontal="left" vertical="center"/>
    </xf>
    <xf numFmtId="171" fontId="22" fillId="3" borderId="35" xfId="0" applyNumberFormat="1" applyFont="1" applyFill="1" applyBorder="1" applyAlignment="1">
      <alignment horizontal="left" vertical="center"/>
    </xf>
    <xf numFmtId="171" fontId="22" fillId="3" borderId="8" xfId="0" applyNumberFormat="1" applyFont="1" applyFill="1" applyBorder="1" applyAlignment="1">
      <alignment horizontal="left" vertical="center"/>
    </xf>
    <xf numFmtId="171" fontId="22" fillId="3" borderId="34" xfId="0" applyNumberFormat="1" applyFont="1" applyFill="1" applyBorder="1" applyAlignment="1">
      <alignment horizontal="left" vertical="center"/>
    </xf>
    <xf numFmtId="171" fontId="22" fillId="3" borderId="43" xfId="0" applyNumberFormat="1" applyFont="1" applyFill="1" applyBorder="1" applyAlignment="1">
      <alignment horizontal="left" vertical="center"/>
    </xf>
    <xf numFmtId="171" fontId="26" fillId="3" borderId="27" xfId="0" applyNumberFormat="1" applyFont="1" applyFill="1" applyBorder="1" applyAlignment="1">
      <alignment horizontal="left" vertical="center"/>
    </xf>
    <xf numFmtId="171" fontId="26" fillId="3" borderId="13" xfId="0" applyNumberFormat="1" applyFont="1" applyFill="1" applyBorder="1" applyAlignment="1">
      <alignment horizontal="left" vertical="center"/>
    </xf>
    <xf numFmtId="171" fontId="26" fillId="3" borderId="25" xfId="0" applyNumberFormat="1" applyFont="1" applyFill="1" applyBorder="1" applyAlignment="1">
      <alignment horizontal="left" vertical="center"/>
    </xf>
    <xf numFmtId="171" fontId="26" fillId="3" borderId="12" xfId="0" applyNumberFormat="1" applyFont="1" applyFill="1" applyBorder="1" applyAlignment="1">
      <alignment horizontal="left" vertical="center"/>
    </xf>
    <xf numFmtId="171" fontId="26" fillId="3" borderId="14" xfId="0" applyNumberFormat="1" applyFont="1" applyFill="1" applyBorder="1" applyAlignment="1">
      <alignment horizontal="left" vertical="center"/>
    </xf>
    <xf numFmtId="171" fontId="22" fillId="3" borderId="36" xfId="0" applyNumberFormat="1" applyFont="1" applyFill="1" applyBorder="1" applyAlignment="1">
      <alignment horizontal="left" vertical="center"/>
    </xf>
    <xf numFmtId="2" fontId="15" fillId="3" borderId="1" xfId="0" applyNumberFormat="1" applyFont="1" applyFill="1" applyBorder="1" applyAlignment="1">
      <alignment horizontal="center" vertical="center"/>
    </xf>
    <xf numFmtId="0" fontId="16" fillId="6" borderId="15" xfId="0" applyFont="1" applyFill="1" applyBorder="1" applyAlignment="1">
      <alignment horizontal="left" vertical="center"/>
    </xf>
    <xf numFmtId="171" fontId="26" fillId="3" borderId="12" xfId="1" applyNumberFormat="1" applyFont="1" applyFill="1" applyBorder="1" applyAlignment="1" applyProtection="1">
      <alignment horizontal="left" vertical="center"/>
    </xf>
    <xf numFmtId="2" fontId="15" fillId="3" borderId="31" xfId="1" applyNumberFormat="1" applyFont="1" applyFill="1" applyBorder="1" applyAlignment="1" applyProtection="1">
      <alignment horizontal="center" vertical="center"/>
    </xf>
    <xf numFmtId="2" fontId="15" fillId="3" borderId="7" xfId="1" applyNumberFormat="1" applyFont="1" applyFill="1" applyBorder="1" applyAlignment="1" applyProtection="1">
      <alignment horizontal="center" vertical="center"/>
    </xf>
  </cellXfs>
  <cellStyles count="9">
    <cellStyle name="Comma" xfId="1" builtinId="3"/>
    <cellStyle name="Comma 2 2" xfId="6" xr:uid="{197C7BF5-CFBC-40FF-ACD6-8E7CE4D90CB5}"/>
    <cellStyle name="Comma 6 2" xfId="4" xr:uid="{28ED95DA-1972-4E16-A4B5-E8AF530BFCDD}"/>
    <cellStyle name="Comma 7" xfId="8" xr:uid="{47C524A2-A5CC-4005-9C9E-FAC9733ABF9F}"/>
    <cellStyle name="Currency" xfId="2" builtinId="4"/>
    <cellStyle name="Normal" xfId="0" builtinId="0"/>
    <cellStyle name="Normal 2" xfId="7" xr:uid="{C9210DE5-8278-4D10-8ABF-817E14F996A4}"/>
    <cellStyle name="Percent" xfId="3" builtinId="5"/>
    <cellStyle name="Percent 3" xfId="5" xr:uid="{54A3871C-2D1B-4C9C-8A65-0CAE796298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63502</xdr:colOff>
      <xdr:row>17</xdr:row>
      <xdr:rowOff>12969</xdr:rowOff>
    </xdr:from>
    <xdr:ext cx="1123765" cy="923906"/>
    <xdr:pic>
      <xdr:nvPicPr>
        <xdr:cNvPr id="2" name="Picture 1">
          <a:extLst>
            <a:ext uri="{FF2B5EF4-FFF2-40B4-BE49-F238E27FC236}">
              <a16:creationId xmlns:a16="http://schemas.microsoft.com/office/drawing/2014/main" id="{8C083DA5-7725-4D29-97F5-792D93949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962" y="3121929"/>
          <a:ext cx="1123765" cy="92390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63502</xdr:colOff>
      <xdr:row>17</xdr:row>
      <xdr:rowOff>12969</xdr:rowOff>
    </xdr:from>
    <xdr:ext cx="1123765" cy="923906"/>
    <xdr:pic>
      <xdr:nvPicPr>
        <xdr:cNvPr id="2" name="Picture 1">
          <a:extLst>
            <a:ext uri="{FF2B5EF4-FFF2-40B4-BE49-F238E27FC236}">
              <a16:creationId xmlns:a16="http://schemas.microsoft.com/office/drawing/2014/main" id="{AF5AC439-6E8F-43FA-B628-38FF1F77A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445" y="176255"/>
          <a:ext cx="1123765" cy="92390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63502</xdr:colOff>
      <xdr:row>17</xdr:row>
      <xdr:rowOff>12969</xdr:rowOff>
    </xdr:from>
    <xdr:ext cx="1123765" cy="923906"/>
    <xdr:pic>
      <xdr:nvPicPr>
        <xdr:cNvPr id="2" name="Picture 1">
          <a:extLst>
            <a:ext uri="{FF2B5EF4-FFF2-40B4-BE49-F238E27FC236}">
              <a16:creationId xmlns:a16="http://schemas.microsoft.com/office/drawing/2014/main" id="{6E0A6E8E-6E97-449D-9365-BE4142B79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042" y="188229"/>
          <a:ext cx="1123765" cy="923906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</xdr:colOff>
      <xdr:row>0</xdr:row>
      <xdr:rowOff>116205</xdr:rowOff>
    </xdr:from>
    <xdr:to>
      <xdr:col>10</xdr:col>
      <xdr:colOff>199271</xdr:colOff>
      <xdr:row>44</xdr:row>
      <xdr:rowOff>92353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D5B135-5749-C9D9-0F60-04E5A8ABB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8605" y="116205"/>
          <a:ext cx="6026666" cy="793904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63502</xdr:colOff>
      <xdr:row>17</xdr:row>
      <xdr:rowOff>12969</xdr:rowOff>
    </xdr:from>
    <xdr:to>
      <xdr:col>4</xdr:col>
      <xdr:colOff>93797</xdr:colOff>
      <xdr:row>22</xdr:row>
      <xdr:rowOff>56765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AB7B9F-B1E9-49EA-9D3D-463E68509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042" y="188229"/>
          <a:ext cx="1100905" cy="9620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ee%20Comm%20Developers/Documents/C&amp;C%20Documents/THE%20ELEMENTS_Las%20Pi&#241;as/Pricelist/The%20Elements%20Price%20Lis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iela%20Oaman/Documents/Documents/C&amp;C%20Documents/GRAND%20MESA_FAIRVIEW/Terracess%20Commonwealth-Town%20House/Cash%20Flow/Fairview%20TH-%20Business%20Plan%20V7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iela%20Oaman/Documents/Documents/C&amp;C%20Documents/GRAND%20MESA_FAIRVIEW/PRICELIST/GMR%20T1/GRAND%20MESA%20T1%20PRICELIST%20WITH%20SAMPLE%20COMPUTATION_V7%2009-23-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act Summary"/>
      <sheetName val="Package Computation (TSP)"/>
      <sheetName val="125.26 on 84.64sqm (San Diego)"/>
      <sheetName val="167.62 on 80sqm (San Esteban)"/>
      <sheetName val="Price List"/>
      <sheetName val="Pricelist_SSO"/>
      <sheetName val="FLOOR LAY OUT"/>
    </sheetNames>
    <sheetDataSet>
      <sheetData sheetId="0" refreshError="1"/>
      <sheetData sheetId="1" refreshError="1"/>
      <sheetData sheetId="2">
        <row r="7">
          <cell r="L7">
            <v>37954.779591172803</v>
          </cell>
        </row>
        <row r="8">
          <cell r="E8">
            <v>184.43</v>
          </cell>
        </row>
      </sheetData>
      <sheetData sheetId="3">
        <row r="7">
          <cell r="R7">
            <v>43808.411214953267</v>
          </cell>
        </row>
        <row r="8">
          <cell r="E8">
            <v>136.96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Project Data"/>
      <sheetName val="Income Statement"/>
      <sheetName val="Package Breakdown"/>
      <sheetName val="Cash Flow"/>
      <sheetName val="Tabulation"/>
      <sheetName val="BOQ"/>
      <sheetName val="OSM Breakdown"/>
      <sheetName val="Construction Cost"/>
      <sheetName val="Investment"/>
      <sheetName val="Pricelist (2)"/>
      <sheetName val="Pricelist"/>
      <sheetName val="Sales"/>
      <sheetName val="Commissions"/>
      <sheetName val="Marketing"/>
      <sheetName val="Construction"/>
      <sheetName val="OSM"/>
      <sheetName val="Other Costs"/>
      <sheetName val="Expenses"/>
      <sheetName val="Gantt Chart"/>
      <sheetName val="Competitor Analysis"/>
      <sheetName val="Detailed Timeline"/>
      <sheetName val="UNIT A"/>
    </sheetNames>
    <sheetDataSet>
      <sheetData sheetId="0" refreshError="1"/>
      <sheetData sheetId="1" refreshError="1"/>
      <sheetData sheetId="2" refreshError="1">
        <row r="22">
          <cell r="E22">
            <v>53.46</v>
          </cell>
        </row>
        <row r="26">
          <cell r="E26">
            <v>208.38</v>
          </cell>
        </row>
        <row r="29">
          <cell r="E29">
            <v>42.08</v>
          </cell>
        </row>
        <row r="33">
          <cell r="E33">
            <v>197</v>
          </cell>
        </row>
        <row r="36">
          <cell r="E36">
            <v>54.58</v>
          </cell>
        </row>
        <row r="40">
          <cell r="E40">
            <v>213.56</v>
          </cell>
        </row>
        <row r="43">
          <cell r="E43">
            <v>54.58</v>
          </cell>
        </row>
        <row r="47">
          <cell r="E47">
            <v>213.56</v>
          </cell>
        </row>
        <row r="50">
          <cell r="E50">
            <v>42.08</v>
          </cell>
        </row>
        <row r="54">
          <cell r="E54">
            <v>197</v>
          </cell>
        </row>
        <row r="57">
          <cell r="E57">
            <v>53.46</v>
          </cell>
        </row>
        <row r="61">
          <cell r="E61">
            <v>208.38</v>
          </cell>
        </row>
        <row r="109">
          <cell r="E109">
            <v>50000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5">
          <cell r="H5">
            <v>230625</v>
          </cell>
        </row>
        <row r="6">
          <cell r="H6">
            <v>922500</v>
          </cell>
        </row>
        <row r="9">
          <cell r="H9">
            <v>392062.5</v>
          </cell>
        </row>
        <row r="10">
          <cell r="H10">
            <v>46125.000000000044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PRICELIST"/>
      <sheetName val="T1_Pricelist Link"/>
      <sheetName val="FORM"/>
      <sheetName val="STEP UP"/>
      <sheetName val="RA_STEPUP"/>
      <sheetName val="STANDARD COMP."/>
      <sheetName val="RA_Standard"/>
      <sheetName val="SPOT EQUITY_7DAYS"/>
      <sheetName val="RA_SE7D"/>
      <sheetName val="SPOT EQUITY_30DAYS"/>
      <sheetName val="RA_SE30D"/>
      <sheetName val="SPOT CASH_30 DAYS"/>
      <sheetName val="RA_SC30D"/>
      <sheetName val="SPOT CASH_60 DAYS"/>
      <sheetName val="RA_SC60D"/>
      <sheetName val="DEFERRED"/>
      <sheetName val="RA_DEFERRED"/>
      <sheetName val="SPECIAL PACKAGE"/>
      <sheetName val="RA_Special"/>
      <sheetName val="Docs Req"/>
    </sheetNames>
    <sheetDataSet>
      <sheetData sheetId="0" refreshError="1"/>
      <sheetData sheetId="1" refreshError="1"/>
      <sheetData sheetId="2" refreshError="1">
        <row r="11">
          <cell r="I11" t="str">
            <v>GRAND MESA RESIDENCES</v>
          </cell>
        </row>
        <row r="14">
          <cell r="A14">
            <v>107</v>
          </cell>
          <cell r="I14" t="str">
            <v>TOWER 1</v>
          </cell>
        </row>
        <row r="22">
          <cell r="I22">
            <v>20000</v>
          </cell>
        </row>
        <row r="24">
          <cell r="I24" t="e">
            <v>#N/A</v>
          </cell>
        </row>
        <row r="26">
          <cell r="I26">
            <v>0.2</v>
          </cell>
        </row>
        <row r="28">
          <cell r="I28"/>
        </row>
        <row r="30">
          <cell r="I30" t="str">
            <v>enm</v>
          </cell>
        </row>
      </sheetData>
      <sheetData sheetId="3" refreshError="1"/>
      <sheetData sheetId="4" refreshError="1"/>
      <sheetData sheetId="5" refreshError="1">
        <row r="13">
          <cell r="E13">
            <v>41.75</v>
          </cell>
          <cell r="F13"/>
        </row>
        <row r="24">
          <cell r="E24">
            <v>0.2</v>
          </cell>
        </row>
        <row r="29">
          <cell r="E29" t="e">
            <v>#N/A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28D4D-9464-4632-ABFA-2B349D83EF43}">
  <dimension ref="A1:AN72"/>
  <sheetViews>
    <sheetView topLeftCell="AO17" zoomScale="90" zoomScaleNormal="90" workbookViewId="0">
      <selection activeCell="AU35" sqref="AU35"/>
    </sheetView>
  </sheetViews>
  <sheetFormatPr defaultColWidth="9.28515625" defaultRowHeight="12.75" x14ac:dyDescent="0.2"/>
  <cols>
    <col min="1" max="1" width="7.42578125" style="9" hidden="1" customWidth="1"/>
    <col min="2" max="2" width="5.7109375" style="8" hidden="1" customWidth="1"/>
    <col min="3" max="3" width="8.28515625" style="9" hidden="1" customWidth="1"/>
    <col min="4" max="4" width="8.5703125" style="9" hidden="1" customWidth="1"/>
    <col min="5" max="5" width="25.7109375" style="9" hidden="1" customWidth="1"/>
    <col min="6" max="6" width="8.42578125" style="9" hidden="1" customWidth="1"/>
    <col min="7" max="7" width="8.5703125" style="9" hidden="1" customWidth="1"/>
    <col min="8" max="8" width="9.7109375" style="8" hidden="1" customWidth="1"/>
    <col min="9" max="9" width="13.5703125" style="8" hidden="1" customWidth="1"/>
    <col min="10" max="10" width="12.5703125" style="8" hidden="1" customWidth="1"/>
    <col min="11" max="11" width="11.5703125" style="8" hidden="1" customWidth="1"/>
    <col min="12" max="12" width="13.5703125" style="8" hidden="1" customWidth="1"/>
    <col min="13" max="13" width="16.42578125" style="8" hidden="1" customWidth="1"/>
    <col min="14" max="14" width="16.42578125" style="27" hidden="1" customWidth="1"/>
    <col min="15" max="15" width="15.28515625" style="8" hidden="1" customWidth="1"/>
    <col min="16" max="16" width="11" style="8" hidden="1" customWidth="1"/>
    <col min="17" max="17" width="16.42578125" style="8" hidden="1" customWidth="1"/>
    <col min="18" max="18" width="11" style="8" hidden="1" customWidth="1"/>
    <col min="19" max="20" width="16.42578125" style="8" hidden="1" customWidth="1"/>
    <col min="21" max="21" width="11" style="8" hidden="1" customWidth="1"/>
    <col min="22" max="22" width="16.42578125" style="8" hidden="1" customWidth="1"/>
    <col min="23" max="23" width="11" style="8" hidden="1" customWidth="1"/>
    <col min="24" max="24" width="16.42578125" style="8" hidden="1" customWidth="1"/>
    <col min="25" max="25" width="10.7109375" style="8" hidden="1" customWidth="1"/>
    <col min="26" max="26" width="18" style="9" hidden="1" customWidth="1"/>
    <col min="27" max="27" width="13.28515625" style="10" hidden="1" customWidth="1"/>
    <col min="28" max="28" width="11" style="9" hidden="1" customWidth="1"/>
    <col min="29" max="29" width="15.42578125" style="9" hidden="1" customWidth="1"/>
    <col min="30" max="30" width="15.5703125" style="9" hidden="1" customWidth="1"/>
    <col min="31" max="31" width="12.140625" style="9" hidden="1" customWidth="1"/>
    <col min="32" max="32" width="12.7109375" style="9" hidden="1" customWidth="1"/>
    <col min="33" max="33" width="11.42578125" style="9" hidden="1" customWidth="1"/>
    <col min="34" max="34" width="12.28515625" style="9" hidden="1" customWidth="1"/>
    <col min="35" max="35" width="15" style="9" hidden="1" customWidth="1"/>
    <col min="36" max="37" width="9.28515625" style="9" hidden="1" customWidth="1"/>
    <col min="38" max="39" width="13.5703125" style="9" hidden="1" customWidth="1"/>
    <col min="40" max="40" width="11" style="9" hidden="1" customWidth="1"/>
    <col min="41" max="16384" width="9.28515625" style="9"/>
  </cols>
  <sheetData>
    <row r="1" spans="2:28" hidden="1" x14ac:dyDescent="0.2"/>
    <row r="2" spans="2:28" hidden="1" x14ac:dyDescent="0.2"/>
    <row r="3" spans="2:28" hidden="1" x14ac:dyDescent="0.2">
      <c r="B3" s="337"/>
      <c r="C3" s="337"/>
      <c r="D3" s="337"/>
    </row>
    <row r="4" spans="2:28" hidden="1" x14ac:dyDescent="0.2">
      <c r="B4" s="11"/>
      <c r="C4" s="12"/>
      <c r="D4" s="12"/>
    </row>
    <row r="5" spans="2:28" hidden="1" x14ac:dyDescent="0.2">
      <c r="B5" s="11"/>
      <c r="C5" s="12"/>
      <c r="D5" s="12"/>
    </row>
    <row r="6" spans="2:28" hidden="1" x14ac:dyDescent="0.2">
      <c r="B6" s="8" t="s">
        <v>0</v>
      </c>
      <c r="C6" s="8"/>
      <c r="D6" s="8"/>
      <c r="AB6" s="13" t="s">
        <v>1</v>
      </c>
    </row>
    <row r="7" spans="2:28" hidden="1" x14ac:dyDescent="0.2">
      <c r="B7" s="8" t="s">
        <v>2</v>
      </c>
      <c r="C7" s="14" t="s">
        <v>3</v>
      </c>
      <c r="D7" s="9" t="s">
        <v>4</v>
      </c>
    </row>
    <row r="8" spans="2:28" hidden="1" x14ac:dyDescent="0.2">
      <c r="B8" s="8" t="s">
        <v>5</v>
      </c>
      <c r="C8" s="15">
        <f>'[1]125.26 on 84.64sqm (San Diego)'!E8</f>
        <v>184.43</v>
      </c>
      <c r="D8" s="15">
        <f>'[1]125.26 on 84.64sqm (San Diego)'!L7</f>
        <v>37954.779591172803</v>
      </c>
    </row>
    <row r="9" spans="2:28" hidden="1" x14ac:dyDescent="0.2">
      <c r="B9" s="8" t="s">
        <v>6</v>
      </c>
      <c r="C9" s="8">
        <f>'[1]167.62 on 80sqm (San Esteban)'!E8</f>
        <v>136.96</v>
      </c>
      <c r="D9" s="15">
        <f>'[1]167.62 on 80sqm (San Esteban)'!R7</f>
        <v>43808.411214953267</v>
      </c>
      <c r="G9" s="16" t="s">
        <v>7</v>
      </c>
      <c r="H9" s="14"/>
      <c r="I9" s="14"/>
    </row>
    <row r="10" spans="2:28" hidden="1" x14ac:dyDescent="0.2">
      <c r="C10" s="15"/>
      <c r="D10" s="15"/>
      <c r="G10" s="17">
        <f>C8</f>
        <v>184.43</v>
      </c>
      <c r="H10" s="25"/>
      <c r="I10" s="25"/>
    </row>
    <row r="11" spans="2:28" hidden="1" x14ac:dyDescent="0.2">
      <c r="C11" s="8"/>
      <c r="D11" s="8"/>
      <c r="G11" s="17">
        <f>C9</f>
        <v>136.96</v>
      </c>
      <c r="H11" s="25"/>
      <c r="I11" s="25"/>
    </row>
    <row r="12" spans="2:28" hidden="1" x14ac:dyDescent="0.2">
      <c r="B12" s="8" t="s">
        <v>8</v>
      </c>
      <c r="C12" s="15"/>
      <c r="D12" s="8"/>
    </row>
    <row r="13" spans="2:28" hidden="1" x14ac:dyDescent="0.2">
      <c r="B13" s="8" t="s">
        <v>9</v>
      </c>
      <c r="C13" s="8"/>
      <c r="D13" s="8"/>
    </row>
    <row r="14" spans="2:28" hidden="1" x14ac:dyDescent="0.2">
      <c r="B14" s="8" t="s">
        <v>10</v>
      </c>
      <c r="C14" s="15"/>
      <c r="D14" s="8"/>
    </row>
    <row r="15" spans="2:28" hidden="1" x14ac:dyDescent="0.2">
      <c r="C15" s="15"/>
      <c r="D15" s="8"/>
    </row>
    <row r="16" spans="2:28" hidden="1" x14ac:dyDescent="0.2">
      <c r="C16" s="15"/>
      <c r="D16" s="8"/>
    </row>
    <row r="17" spans="2:40" x14ac:dyDescent="0.2">
      <c r="C17" s="15"/>
      <c r="D17" s="8"/>
    </row>
    <row r="18" spans="2:40" x14ac:dyDescent="0.2">
      <c r="C18" s="15"/>
      <c r="D18" s="8"/>
      <c r="E18" s="9" t="s">
        <v>11</v>
      </c>
    </row>
    <row r="19" spans="2:40" x14ac:dyDescent="0.2">
      <c r="C19" s="15"/>
      <c r="E19" s="9" t="s">
        <v>12</v>
      </c>
    </row>
    <row r="20" spans="2:40" x14ac:dyDescent="0.2">
      <c r="C20" s="15"/>
      <c r="E20" s="9" t="s">
        <v>13</v>
      </c>
    </row>
    <row r="21" spans="2:40" x14ac:dyDescent="0.2">
      <c r="C21" s="15"/>
      <c r="D21" s="8"/>
      <c r="V21" s="8" t="s">
        <v>14</v>
      </c>
    </row>
    <row r="22" spans="2:40" x14ac:dyDescent="0.2">
      <c r="C22" s="15"/>
      <c r="D22" s="8"/>
      <c r="Q22" s="8" t="s">
        <v>15</v>
      </c>
      <c r="R22" s="27">
        <f>S27/G27</f>
        <v>50430</v>
      </c>
    </row>
    <row r="23" spans="2:40" x14ac:dyDescent="0.2">
      <c r="B23" s="15"/>
      <c r="H23" s="338" t="s">
        <v>16</v>
      </c>
      <c r="I23" s="338"/>
      <c r="J23" s="338"/>
      <c r="K23" s="338"/>
      <c r="L23" s="338"/>
      <c r="M23" s="338"/>
      <c r="N23" s="338"/>
      <c r="O23" s="338"/>
      <c r="P23" s="338"/>
      <c r="Q23" s="338"/>
      <c r="R23" s="338"/>
      <c r="S23" s="338"/>
      <c r="T23" s="338"/>
      <c r="U23" s="338"/>
      <c r="V23" s="338"/>
      <c r="W23" s="338"/>
      <c r="X23" s="338"/>
      <c r="Y23" s="338"/>
      <c r="Z23" s="18"/>
      <c r="AI23" s="19">
        <v>9.5565207999999992E-3</v>
      </c>
    </row>
    <row r="24" spans="2:40" s="20" customFormat="1" x14ac:dyDescent="0.25">
      <c r="B24" s="339" t="s">
        <v>17</v>
      </c>
      <c r="C24" s="340" t="s">
        <v>18</v>
      </c>
      <c r="D24" s="339" t="s">
        <v>19</v>
      </c>
      <c r="E24" s="339" t="s">
        <v>20</v>
      </c>
      <c r="F24" s="340" t="s">
        <v>21</v>
      </c>
      <c r="G24" s="341" t="s">
        <v>22</v>
      </c>
      <c r="H24" s="343" t="s">
        <v>23</v>
      </c>
      <c r="I24" s="343" t="s">
        <v>24</v>
      </c>
      <c r="J24" s="56" t="s">
        <v>25</v>
      </c>
      <c r="K24" s="55" t="s">
        <v>26</v>
      </c>
      <c r="L24" s="345" t="s">
        <v>27</v>
      </c>
      <c r="M24" s="345" t="s">
        <v>28</v>
      </c>
      <c r="N24" s="346" t="s">
        <v>29</v>
      </c>
      <c r="O24" s="345" t="s">
        <v>30</v>
      </c>
      <c r="P24" s="57">
        <v>2.5000000000000001E-2</v>
      </c>
      <c r="Q24" s="348" t="s">
        <v>31</v>
      </c>
      <c r="R24" s="57">
        <v>2.5000000000000001E-2</v>
      </c>
      <c r="S24" s="348" t="s">
        <v>31</v>
      </c>
      <c r="T24" s="58">
        <v>0.18</v>
      </c>
      <c r="U24" s="57">
        <v>0</v>
      </c>
      <c r="V24" s="348" t="s">
        <v>31</v>
      </c>
      <c r="W24" s="57">
        <v>0</v>
      </c>
      <c r="X24" s="348" t="s">
        <v>31</v>
      </c>
      <c r="Y24" s="57">
        <v>0</v>
      </c>
      <c r="Z24" s="352" t="s">
        <v>31</v>
      </c>
      <c r="AA24" s="3">
        <v>0.1</v>
      </c>
      <c r="AB24" s="4">
        <v>0</v>
      </c>
      <c r="AC24" s="339" t="s">
        <v>32</v>
      </c>
      <c r="AD24" s="2">
        <v>0.2</v>
      </c>
      <c r="AE24" s="353" t="s">
        <v>33</v>
      </c>
      <c r="AF24" s="353" t="s">
        <v>34</v>
      </c>
      <c r="AG24" s="1">
        <v>12</v>
      </c>
      <c r="AH24" s="5">
        <f>100%-AD24</f>
        <v>0.8</v>
      </c>
      <c r="AI24" s="1" t="s">
        <v>35</v>
      </c>
      <c r="AL24" s="349" t="s">
        <v>36</v>
      </c>
      <c r="AM24" s="350"/>
      <c r="AN24" s="351"/>
    </row>
    <row r="25" spans="2:40" s="24" customFormat="1" ht="38.25" x14ac:dyDescent="0.2">
      <c r="B25" s="339"/>
      <c r="C25" s="340"/>
      <c r="D25" s="339"/>
      <c r="E25" s="339"/>
      <c r="F25" s="340"/>
      <c r="G25" s="342"/>
      <c r="H25" s="344"/>
      <c r="I25" s="344"/>
      <c r="J25" s="55">
        <v>250000</v>
      </c>
      <c r="K25" s="55">
        <v>500000</v>
      </c>
      <c r="L25" s="345"/>
      <c r="M25" s="345"/>
      <c r="N25" s="347"/>
      <c r="O25" s="345"/>
      <c r="P25" s="55" t="s">
        <v>37</v>
      </c>
      <c r="Q25" s="348"/>
      <c r="R25" s="55" t="s">
        <v>38</v>
      </c>
      <c r="S25" s="348"/>
      <c r="T25" s="58" t="s">
        <v>39</v>
      </c>
      <c r="U25" s="56" t="s">
        <v>40</v>
      </c>
      <c r="V25" s="348"/>
      <c r="W25" s="55" t="s">
        <v>41</v>
      </c>
      <c r="X25" s="348"/>
      <c r="Y25" s="56" t="s">
        <v>42</v>
      </c>
      <c r="Z25" s="352"/>
      <c r="AA25" s="6" t="s">
        <v>43</v>
      </c>
      <c r="AB25" s="1" t="s">
        <v>44</v>
      </c>
      <c r="AC25" s="339"/>
      <c r="AD25" s="1" t="s">
        <v>45</v>
      </c>
      <c r="AE25" s="353"/>
      <c r="AF25" s="353"/>
      <c r="AG25" s="1" t="s">
        <v>46</v>
      </c>
      <c r="AH25" s="1" t="s">
        <v>47</v>
      </c>
      <c r="AI25" s="7" t="s">
        <v>48</v>
      </c>
      <c r="AJ25" s="20"/>
      <c r="AK25" s="20"/>
      <c r="AL25" s="21" t="s">
        <v>49</v>
      </c>
      <c r="AM25" s="22" t="s">
        <v>50</v>
      </c>
      <c r="AN25" s="23" t="s">
        <v>51</v>
      </c>
    </row>
    <row r="26" spans="2:40" s="31" customFormat="1" x14ac:dyDescent="0.2">
      <c r="B26" s="61">
        <v>1</v>
      </c>
      <c r="C26" s="62" t="s">
        <v>52</v>
      </c>
      <c r="D26" s="62" t="s">
        <v>53</v>
      </c>
      <c r="E26" s="61" t="s">
        <v>54</v>
      </c>
      <c r="F26" s="63">
        <f>'[2]Project Data'!E22</f>
        <v>53.46</v>
      </c>
      <c r="G26" s="64">
        <f>'[2]Project Data'!E26</f>
        <v>208.38</v>
      </c>
      <c r="H26" s="64">
        <f>Q26/G26</f>
        <v>44270.08350129571</v>
      </c>
      <c r="I26" s="64">
        <v>9000000</v>
      </c>
      <c r="J26" s="61"/>
      <c r="K26" s="61"/>
      <c r="L26" s="61">
        <f t="shared" ref="L26:L31" si="0">SUM(J26:K26)</f>
        <v>0</v>
      </c>
      <c r="M26" s="61">
        <f t="shared" ref="M26:M31" si="1">I26+J26+K26</f>
        <v>9000000</v>
      </c>
      <c r="N26" s="64">
        <f t="shared" ref="N26:N31" si="2">M26*6%</f>
        <v>540000</v>
      </c>
      <c r="O26" s="61">
        <f t="shared" ref="O26:O31" si="3">L26+M26</f>
        <v>9000000</v>
      </c>
      <c r="P26" s="61">
        <f t="shared" ref="P26:P31" si="4">O26*$P$24</f>
        <v>225000</v>
      </c>
      <c r="Q26" s="61">
        <f t="shared" ref="Q26:Q31" si="5">O26+P26</f>
        <v>9225000</v>
      </c>
      <c r="R26" s="61"/>
      <c r="S26" s="61">
        <f t="shared" ref="S26:S31" si="6">Q26+R26</f>
        <v>9225000</v>
      </c>
      <c r="T26" s="61">
        <f>'[2]UNIT A'!H5+'[2]UNIT A'!H6+'[2]UNIT A'!H9+'[2]UNIT A'!H10</f>
        <v>1591312.5</v>
      </c>
      <c r="U26" s="61">
        <f>S26*$U$24</f>
        <v>0</v>
      </c>
      <c r="V26" s="61">
        <f t="shared" ref="V26:V31" si="7">S26+U26</f>
        <v>9225000</v>
      </c>
      <c r="W26" s="61">
        <f t="shared" ref="W26:W31" si="8">V26*$W$24</f>
        <v>0</v>
      </c>
      <c r="X26" s="61">
        <f t="shared" ref="X26:X31" si="9">V26+W26</f>
        <v>9225000</v>
      </c>
      <c r="Y26" s="61">
        <f t="shared" ref="Y26:Y31" si="10">X26*$Y$24</f>
        <v>0</v>
      </c>
      <c r="Z26" s="328">
        <f>S26-T26</f>
        <v>7633687.5</v>
      </c>
      <c r="AA26" s="64">
        <f t="shared" ref="AA26:AA31" si="11">Z26*$AA$24</f>
        <v>763368.75</v>
      </c>
      <c r="AB26" s="61">
        <f t="shared" ref="AB26:AB31" si="12">Z26*$AB$24</f>
        <v>0</v>
      </c>
      <c r="AC26" s="61">
        <f t="shared" ref="AC26:AC31" si="13">Z26+AA26</f>
        <v>8397056.25</v>
      </c>
      <c r="AD26" s="61">
        <f t="shared" ref="AD26:AD31" si="14">AC26*$AD$24</f>
        <v>1679411.25</v>
      </c>
      <c r="AE26" s="61">
        <v>50000</v>
      </c>
      <c r="AF26" s="61">
        <f t="shared" ref="AF26:AF31" si="15">AD26-AE26</f>
        <v>1629411.25</v>
      </c>
      <c r="AG26" s="61">
        <f t="shared" ref="AG26:AG31" si="16">AF26/$AG$24</f>
        <v>135784.27083333334</v>
      </c>
      <c r="AH26" s="61">
        <f t="shared" ref="AH26:AH31" si="17">AC26*$AH$24</f>
        <v>6717645</v>
      </c>
      <c r="AI26" s="61">
        <f t="shared" ref="AI26:AI31" si="18">AH26*$AI$23</f>
        <v>64197.314169515994</v>
      </c>
      <c r="AL26" s="61">
        <f>AC26</f>
        <v>8397056.25</v>
      </c>
      <c r="AM26" s="61">
        <f>AH26+(AG26*$AG$24)+AE26</f>
        <v>8397056.25</v>
      </c>
      <c r="AN26" s="61">
        <f>AM26-AL26</f>
        <v>0</v>
      </c>
    </row>
    <row r="27" spans="2:40" s="31" customFormat="1" x14ac:dyDescent="0.2">
      <c r="B27" s="61">
        <f>B26+1</f>
        <v>2</v>
      </c>
      <c r="C27" s="62" t="s">
        <v>55</v>
      </c>
      <c r="D27" s="62" t="s">
        <v>56</v>
      </c>
      <c r="E27" s="61" t="s">
        <v>57</v>
      </c>
      <c r="F27" s="63">
        <f>'[2]Project Data'!E29</f>
        <v>42.08</v>
      </c>
      <c r="G27" s="64">
        <f>'[2]Project Data'!E33</f>
        <v>197</v>
      </c>
      <c r="H27" s="64">
        <v>48000</v>
      </c>
      <c r="I27" s="64">
        <f>G27*H27</f>
        <v>9456000</v>
      </c>
      <c r="J27" s="61"/>
      <c r="K27" s="61"/>
      <c r="L27" s="61">
        <f t="shared" si="0"/>
        <v>0</v>
      </c>
      <c r="M27" s="61">
        <f t="shared" si="1"/>
        <v>9456000</v>
      </c>
      <c r="N27" s="64">
        <f t="shared" si="2"/>
        <v>567360</v>
      </c>
      <c r="O27" s="61">
        <f t="shared" si="3"/>
        <v>9456000</v>
      </c>
      <c r="P27" s="61">
        <f t="shared" si="4"/>
        <v>236400</v>
      </c>
      <c r="Q27" s="61">
        <f t="shared" si="5"/>
        <v>9692400</v>
      </c>
      <c r="R27" s="61">
        <f>Q27*$R$24</f>
        <v>242310</v>
      </c>
      <c r="S27" s="61">
        <f t="shared" si="6"/>
        <v>9934710</v>
      </c>
      <c r="T27" s="61"/>
      <c r="U27" s="61">
        <f>$AA$57</f>
        <v>12831.436906250194</v>
      </c>
      <c r="V27" s="61">
        <f t="shared" si="7"/>
        <v>9947541.4369062502</v>
      </c>
      <c r="W27" s="61">
        <f t="shared" si="8"/>
        <v>0</v>
      </c>
      <c r="X27" s="61">
        <f t="shared" si="9"/>
        <v>9947541.4369062502</v>
      </c>
      <c r="Y27" s="61">
        <f t="shared" si="10"/>
        <v>0</v>
      </c>
      <c r="Z27" s="328">
        <f>X27+Y27</f>
        <v>9947541.4369062502</v>
      </c>
      <c r="AA27" s="64">
        <f t="shared" si="11"/>
        <v>994754.14369062509</v>
      </c>
      <c r="AB27" s="61">
        <f t="shared" si="12"/>
        <v>0</v>
      </c>
      <c r="AC27" s="61">
        <f t="shared" si="13"/>
        <v>10942295.580596875</v>
      </c>
      <c r="AD27" s="61">
        <f t="shared" si="14"/>
        <v>2188459.116119375</v>
      </c>
      <c r="AE27" s="61">
        <f>'[2]Project Data'!$E$109</f>
        <v>50000</v>
      </c>
      <c r="AF27" s="61">
        <f t="shared" si="15"/>
        <v>2138459.116119375</v>
      </c>
      <c r="AG27" s="61">
        <f t="shared" si="16"/>
        <v>178204.92634328126</v>
      </c>
      <c r="AH27" s="61">
        <f t="shared" si="17"/>
        <v>8753836.4644774999</v>
      </c>
      <c r="AI27" s="61">
        <f t="shared" si="18"/>
        <v>83656.220252577681</v>
      </c>
      <c r="AL27" s="61">
        <f t="shared" ref="AL27:AL31" si="19">AC27</f>
        <v>10942295.580596875</v>
      </c>
      <c r="AM27" s="61">
        <f t="shared" ref="AM27:AM31" si="20">AH27+(AG27*$AG$24)+AE27</f>
        <v>10942295.580596875</v>
      </c>
      <c r="AN27" s="61">
        <f t="shared" ref="AN27:AN31" si="21">AM27-AL27</f>
        <v>0</v>
      </c>
    </row>
    <row r="28" spans="2:40" s="31" customFormat="1" x14ac:dyDescent="0.2">
      <c r="B28" s="61">
        <f>B27+1</f>
        <v>3</v>
      </c>
      <c r="C28" s="62" t="s">
        <v>58</v>
      </c>
      <c r="D28" s="62" t="s">
        <v>56</v>
      </c>
      <c r="E28" s="61" t="s">
        <v>59</v>
      </c>
      <c r="F28" s="63">
        <f>'[2]Project Data'!E36</f>
        <v>54.58</v>
      </c>
      <c r="G28" s="64">
        <f>'[2]Project Data'!E40</f>
        <v>213.56</v>
      </c>
      <c r="H28" s="64">
        <v>48000</v>
      </c>
      <c r="I28" s="64">
        <f>G28*H28</f>
        <v>10250880</v>
      </c>
      <c r="J28" s="61"/>
      <c r="K28" s="61"/>
      <c r="L28" s="61">
        <f t="shared" si="0"/>
        <v>0</v>
      </c>
      <c r="M28" s="61">
        <f t="shared" si="1"/>
        <v>10250880</v>
      </c>
      <c r="N28" s="64">
        <f t="shared" si="2"/>
        <v>615052.79999999993</v>
      </c>
      <c r="O28" s="61">
        <f t="shared" si="3"/>
        <v>10250880</v>
      </c>
      <c r="P28" s="61">
        <f t="shared" si="4"/>
        <v>256272</v>
      </c>
      <c r="Q28" s="61">
        <f t="shared" si="5"/>
        <v>10507152</v>
      </c>
      <c r="R28" s="61">
        <f>Q28*$R$24</f>
        <v>262678.8</v>
      </c>
      <c r="S28" s="61">
        <f t="shared" si="6"/>
        <v>10769830.800000001</v>
      </c>
      <c r="T28" s="61"/>
      <c r="U28" s="61">
        <f>$AA$57</f>
        <v>12831.436906250194</v>
      </c>
      <c r="V28" s="61">
        <f t="shared" si="7"/>
        <v>10782662.236906251</v>
      </c>
      <c r="W28" s="61">
        <f t="shared" si="8"/>
        <v>0</v>
      </c>
      <c r="X28" s="61">
        <f t="shared" si="9"/>
        <v>10782662.236906251</v>
      </c>
      <c r="Y28" s="61">
        <f t="shared" si="10"/>
        <v>0</v>
      </c>
      <c r="Z28" s="328">
        <f>X28+Y28</f>
        <v>10782662.236906251</v>
      </c>
      <c r="AA28" s="64">
        <f t="shared" si="11"/>
        <v>1078266.223690625</v>
      </c>
      <c r="AB28" s="61">
        <f t="shared" si="12"/>
        <v>0</v>
      </c>
      <c r="AC28" s="61">
        <f t="shared" si="13"/>
        <v>11860928.460596876</v>
      </c>
      <c r="AD28" s="61">
        <f t="shared" si="14"/>
        <v>2372185.6921193753</v>
      </c>
      <c r="AE28" s="61">
        <f>'[2]Project Data'!$E$109</f>
        <v>50000</v>
      </c>
      <c r="AF28" s="61">
        <f t="shared" si="15"/>
        <v>2322185.6921193753</v>
      </c>
      <c r="AG28" s="61">
        <f t="shared" si="16"/>
        <v>193515.47434328127</v>
      </c>
      <c r="AH28" s="61">
        <f t="shared" si="17"/>
        <v>9488742.7684775013</v>
      </c>
      <c r="AI28" s="61">
        <f t="shared" si="18"/>
        <v>90679.367632804817</v>
      </c>
      <c r="AL28" s="61">
        <f t="shared" si="19"/>
        <v>11860928.460596876</v>
      </c>
      <c r="AM28" s="61">
        <f t="shared" si="20"/>
        <v>11860928.460596876</v>
      </c>
      <c r="AN28" s="61">
        <f t="shared" si="21"/>
        <v>0</v>
      </c>
    </row>
    <row r="29" spans="2:40" s="31" customFormat="1" x14ac:dyDescent="0.2">
      <c r="B29" s="61">
        <f>B28+1</f>
        <v>4</v>
      </c>
      <c r="C29" s="62" t="s">
        <v>60</v>
      </c>
      <c r="D29" s="62" t="s">
        <v>56</v>
      </c>
      <c r="E29" s="61" t="s">
        <v>59</v>
      </c>
      <c r="F29" s="63">
        <f>'[2]Project Data'!E43</f>
        <v>54.58</v>
      </c>
      <c r="G29" s="64">
        <f>'[2]Project Data'!E47</f>
        <v>213.56</v>
      </c>
      <c r="H29" s="64">
        <v>48000</v>
      </c>
      <c r="I29" s="64">
        <f>G29*H29</f>
        <v>10250880</v>
      </c>
      <c r="J29" s="61"/>
      <c r="K29" s="61"/>
      <c r="L29" s="61">
        <f t="shared" si="0"/>
        <v>0</v>
      </c>
      <c r="M29" s="61">
        <f t="shared" si="1"/>
        <v>10250880</v>
      </c>
      <c r="N29" s="64">
        <f t="shared" si="2"/>
        <v>615052.79999999993</v>
      </c>
      <c r="O29" s="61">
        <f t="shared" si="3"/>
        <v>10250880</v>
      </c>
      <c r="P29" s="61">
        <f t="shared" si="4"/>
        <v>256272</v>
      </c>
      <c r="Q29" s="61">
        <f t="shared" si="5"/>
        <v>10507152</v>
      </c>
      <c r="R29" s="61">
        <f>Q29*$R$24</f>
        <v>262678.8</v>
      </c>
      <c r="S29" s="61">
        <f t="shared" si="6"/>
        <v>10769830.800000001</v>
      </c>
      <c r="T29" s="61"/>
      <c r="U29" s="61">
        <f>$AA$57</f>
        <v>12831.436906250194</v>
      </c>
      <c r="V29" s="61">
        <f t="shared" si="7"/>
        <v>10782662.236906251</v>
      </c>
      <c r="W29" s="61">
        <f t="shared" si="8"/>
        <v>0</v>
      </c>
      <c r="X29" s="61">
        <f t="shared" si="9"/>
        <v>10782662.236906251</v>
      </c>
      <c r="Y29" s="61">
        <f t="shared" si="10"/>
        <v>0</v>
      </c>
      <c r="Z29" s="328">
        <f>X29+Y29</f>
        <v>10782662.236906251</v>
      </c>
      <c r="AA29" s="64">
        <f t="shared" si="11"/>
        <v>1078266.223690625</v>
      </c>
      <c r="AB29" s="61">
        <f t="shared" si="12"/>
        <v>0</v>
      </c>
      <c r="AC29" s="61">
        <f t="shared" si="13"/>
        <v>11860928.460596876</v>
      </c>
      <c r="AD29" s="61">
        <f t="shared" si="14"/>
        <v>2372185.6921193753</v>
      </c>
      <c r="AE29" s="61">
        <f>'[2]Project Data'!$E$109</f>
        <v>50000</v>
      </c>
      <c r="AF29" s="61">
        <f t="shared" si="15"/>
        <v>2322185.6921193753</v>
      </c>
      <c r="AG29" s="61">
        <f t="shared" si="16"/>
        <v>193515.47434328127</v>
      </c>
      <c r="AH29" s="61">
        <f t="shared" si="17"/>
        <v>9488742.7684775013</v>
      </c>
      <c r="AI29" s="61">
        <f t="shared" si="18"/>
        <v>90679.367632804817</v>
      </c>
      <c r="AL29" s="61">
        <f t="shared" si="19"/>
        <v>11860928.460596876</v>
      </c>
      <c r="AM29" s="61">
        <f t="shared" si="20"/>
        <v>11860928.460596876</v>
      </c>
      <c r="AN29" s="61">
        <f t="shared" si="21"/>
        <v>0</v>
      </c>
    </row>
    <row r="30" spans="2:40" s="31" customFormat="1" x14ac:dyDescent="0.2">
      <c r="B30" s="61">
        <f>B29+1</f>
        <v>5</v>
      </c>
      <c r="C30" s="62" t="s">
        <v>61</v>
      </c>
      <c r="D30" s="62" t="s">
        <v>56</v>
      </c>
      <c r="E30" s="61" t="s">
        <v>57</v>
      </c>
      <c r="F30" s="63">
        <f>'[2]Project Data'!E50</f>
        <v>42.08</v>
      </c>
      <c r="G30" s="64">
        <f>'[2]Project Data'!E54</f>
        <v>197</v>
      </c>
      <c r="H30" s="64">
        <v>48000</v>
      </c>
      <c r="I30" s="64">
        <f>G30*H30</f>
        <v>9456000</v>
      </c>
      <c r="J30" s="61"/>
      <c r="K30" s="61"/>
      <c r="L30" s="61">
        <f t="shared" si="0"/>
        <v>0</v>
      </c>
      <c r="M30" s="61">
        <f t="shared" si="1"/>
        <v>9456000</v>
      </c>
      <c r="N30" s="64">
        <f t="shared" si="2"/>
        <v>567360</v>
      </c>
      <c r="O30" s="61">
        <f t="shared" si="3"/>
        <v>9456000</v>
      </c>
      <c r="P30" s="61">
        <f t="shared" si="4"/>
        <v>236400</v>
      </c>
      <c r="Q30" s="61">
        <f t="shared" si="5"/>
        <v>9692400</v>
      </c>
      <c r="R30" s="61">
        <f>Q30*$R$24</f>
        <v>242310</v>
      </c>
      <c r="S30" s="61">
        <f t="shared" si="6"/>
        <v>9934710</v>
      </c>
      <c r="T30" s="61"/>
      <c r="U30" s="61">
        <f>$AA$57</f>
        <v>12831.436906250194</v>
      </c>
      <c r="V30" s="61">
        <f t="shared" si="7"/>
        <v>9947541.4369062502</v>
      </c>
      <c r="W30" s="61">
        <f t="shared" si="8"/>
        <v>0</v>
      </c>
      <c r="X30" s="61">
        <f t="shared" si="9"/>
        <v>9947541.4369062502</v>
      </c>
      <c r="Y30" s="61">
        <f t="shared" si="10"/>
        <v>0</v>
      </c>
      <c r="Z30" s="328">
        <f>X30+Y30</f>
        <v>9947541.4369062502</v>
      </c>
      <c r="AA30" s="64">
        <f t="shared" si="11"/>
        <v>994754.14369062509</v>
      </c>
      <c r="AB30" s="61">
        <f t="shared" si="12"/>
        <v>0</v>
      </c>
      <c r="AC30" s="61">
        <f t="shared" si="13"/>
        <v>10942295.580596875</v>
      </c>
      <c r="AD30" s="61">
        <f t="shared" si="14"/>
        <v>2188459.116119375</v>
      </c>
      <c r="AE30" s="61">
        <f>'[2]Project Data'!$E$109</f>
        <v>50000</v>
      </c>
      <c r="AF30" s="61">
        <f t="shared" si="15"/>
        <v>2138459.116119375</v>
      </c>
      <c r="AG30" s="61">
        <f t="shared" si="16"/>
        <v>178204.92634328126</v>
      </c>
      <c r="AH30" s="61">
        <f t="shared" si="17"/>
        <v>8753836.4644774999</v>
      </c>
      <c r="AI30" s="61">
        <f t="shared" si="18"/>
        <v>83656.220252577681</v>
      </c>
      <c r="AL30" s="61">
        <f t="shared" si="19"/>
        <v>10942295.580596875</v>
      </c>
      <c r="AM30" s="61">
        <f t="shared" si="20"/>
        <v>10942295.580596875</v>
      </c>
      <c r="AN30" s="61">
        <f t="shared" si="21"/>
        <v>0</v>
      </c>
    </row>
    <row r="31" spans="2:40" s="31" customFormat="1" x14ac:dyDescent="0.2">
      <c r="B31" s="61">
        <f>B30+1</f>
        <v>6</v>
      </c>
      <c r="C31" s="62" t="s">
        <v>62</v>
      </c>
      <c r="D31" s="62" t="s">
        <v>53</v>
      </c>
      <c r="E31" s="61" t="s">
        <v>54</v>
      </c>
      <c r="F31" s="63">
        <f>'[2]Project Data'!E57</f>
        <v>53.46</v>
      </c>
      <c r="G31" s="64">
        <f>'[2]Project Data'!E61</f>
        <v>208.38</v>
      </c>
      <c r="H31" s="64">
        <v>48000</v>
      </c>
      <c r="I31" s="64">
        <f>G31*H31</f>
        <v>10002240</v>
      </c>
      <c r="J31" s="61"/>
      <c r="K31" s="61"/>
      <c r="L31" s="61">
        <f t="shared" si="0"/>
        <v>0</v>
      </c>
      <c r="M31" s="61">
        <f t="shared" si="1"/>
        <v>10002240</v>
      </c>
      <c r="N31" s="64">
        <f t="shared" si="2"/>
        <v>600134.40000000002</v>
      </c>
      <c r="O31" s="61">
        <f t="shared" si="3"/>
        <v>10002240</v>
      </c>
      <c r="P31" s="61">
        <f t="shared" si="4"/>
        <v>250056</v>
      </c>
      <c r="Q31" s="61">
        <f t="shared" si="5"/>
        <v>10252296</v>
      </c>
      <c r="R31" s="61">
        <f>Q31*$R$24</f>
        <v>256307.40000000002</v>
      </c>
      <c r="S31" s="61">
        <f t="shared" si="6"/>
        <v>10508603.4</v>
      </c>
      <c r="T31" s="61"/>
      <c r="U31" s="61">
        <f>$AA$57</f>
        <v>12831.436906250194</v>
      </c>
      <c r="V31" s="61">
        <f t="shared" si="7"/>
        <v>10521434.836906251</v>
      </c>
      <c r="W31" s="61">
        <f t="shared" si="8"/>
        <v>0</v>
      </c>
      <c r="X31" s="61">
        <f t="shared" si="9"/>
        <v>10521434.836906251</v>
      </c>
      <c r="Y31" s="61">
        <f t="shared" si="10"/>
        <v>0</v>
      </c>
      <c r="Z31" s="328">
        <f>X31+Y31</f>
        <v>10521434.836906251</v>
      </c>
      <c r="AA31" s="64">
        <f t="shared" si="11"/>
        <v>1052143.4836906251</v>
      </c>
      <c r="AB31" s="61">
        <f t="shared" si="12"/>
        <v>0</v>
      </c>
      <c r="AC31" s="61">
        <f t="shared" si="13"/>
        <v>11573578.320596876</v>
      </c>
      <c r="AD31" s="61">
        <f t="shared" si="14"/>
        <v>2314715.6641193754</v>
      </c>
      <c r="AE31" s="61">
        <f>'[2]Project Data'!$E$109</f>
        <v>50000</v>
      </c>
      <c r="AF31" s="61">
        <f t="shared" si="15"/>
        <v>2264715.6641193754</v>
      </c>
      <c r="AG31" s="61">
        <f t="shared" si="16"/>
        <v>188726.30534328127</v>
      </c>
      <c r="AH31" s="61">
        <f t="shared" si="17"/>
        <v>9258862.6564775016</v>
      </c>
      <c r="AI31" s="61">
        <f t="shared" si="18"/>
        <v>88482.513560970488</v>
      </c>
      <c r="AL31" s="61">
        <f t="shared" si="19"/>
        <v>11573578.320596876</v>
      </c>
      <c r="AM31" s="61">
        <f t="shared" si="20"/>
        <v>11573578.320596877</v>
      </c>
      <c r="AN31" s="61">
        <f t="shared" si="21"/>
        <v>0</v>
      </c>
    </row>
    <row r="32" spans="2:40" s="65" customFormat="1" x14ac:dyDescent="0.2">
      <c r="I32" s="66"/>
      <c r="J32" s="67"/>
      <c r="L32" s="68"/>
      <c r="N32" s="66"/>
      <c r="AA32" s="66"/>
    </row>
    <row r="33" spans="3:35" s="65" customFormat="1" x14ac:dyDescent="0.2">
      <c r="C33" s="69" t="s">
        <v>63</v>
      </c>
      <c r="M33" s="70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I33" s="68"/>
    </row>
    <row r="34" spans="3:35" x14ac:dyDescent="0.2">
      <c r="C34" s="31" t="s">
        <v>64</v>
      </c>
      <c r="M34" s="27"/>
      <c r="O34" s="59"/>
      <c r="Q34" s="59"/>
      <c r="AC34" s="32"/>
      <c r="AD34" s="33"/>
    </row>
    <row r="35" spans="3:35" x14ac:dyDescent="0.2">
      <c r="C35" s="31" t="s">
        <v>65</v>
      </c>
      <c r="X35" s="26"/>
    </row>
    <row r="36" spans="3:35" x14ac:dyDescent="0.2">
      <c r="C36" s="31" t="s">
        <v>66</v>
      </c>
      <c r="W36" s="60"/>
      <c r="X36" s="26"/>
      <c r="AC36" s="16"/>
      <c r="AD36" s="35"/>
      <c r="AF36" s="30"/>
      <c r="AG36" s="30"/>
    </row>
    <row r="37" spans="3:35" x14ac:dyDescent="0.2">
      <c r="C37" s="31" t="s">
        <v>67</v>
      </c>
      <c r="W37" s="60"/>
      <c r="X37" s="26"/>
      <c r="AC37" s="36"/>
      <c r="AD37" s="29"/>
      <c r="AE37" s="29"/>
      <c r="AF37" s="29"/>
      <c r="AH37" s="29"/>
    </row>
    <row r="38" spans="3:35" x14ac:dyDescent="0.2">
      <c r="W38" s="60"/>
      <c r="X38" s="26"/>
      <c r="AC38" s="37"/>
      <c r="AD38" s="30"/>
      <c r="AE38" s="30"/>
      <c r="AF38" s="30"/>
      <c r="AH38" s="30"/>
    </row>
    <row r="39" spans="3:35" x14ac:dyDescent="0.2">
      <c r="X39" s="26"/>
      <c r="AH39" s="30"/>
    </row>
    <row r="40" spans="3:35" hidden="1" x14ac:dyDescent="0.2">
      <c r="Q40" s="59"/>
    </row>
    <row r="41" spans="3:35" hidden="1" x14ac:dyDescent="0.2">
      <c r="F41" s="34"/>
      <c r="AG41" s="30"/>
    </row>
    <row r="42" spans="3:35" hidden="1" x14ac:dyDescent="0.2">
      <c r="F42" s="38"/>
      <c r="Q42" s="26"/>
      <c r="AD42" s="30" t="s">
        <v>68</v>
      </c>
      <c r="AE42" s="30"/>
      <c r="AG42" s="39"/>
    </row>
    <row r="43" spans="3:35" hidden="1" x14ac:dyDescent="0.2">
      <c r="F43" s="34"/>
      <c r="I43" s="26"/>
      <c r="Z43" s="30" t="s">
        <v>69</v>
      </c>
      <c r="AA43" s="10">
        <f>AA51/AA44</f>
        <v>36913.388933378927</v>
      </c>
      <c r="AD43" s="40" t="s">
        <v>70</v>
      </c>
      <c r="AE43" s="41">
        <f>AA45-AA46-AA47-AA49</f>
        <v>8054462.8125</v>
      </c>
    </row>
    <row r="44" spans="3:35" hidden="1" x14ac:dyDescent="0.2">
      <c r="F44" s="38"/>
      <c r="Q44" s="59"/>
      <c r="Z44" s="9" t="s">
        <v>52</v>
      </c>
      <c r="AA44" s="10">
        <f>G26</f>
        <v>208.38</v>
      </c>
      <c r="AC44" s="16"/>
      <c r="AD44" s="30" t="s">
        <v>71</v>
      </c>
      <c r="AE44" s="30">
        <f>AE43*5%</f>
        <v>402723.140625</v>
      </c>
    </row>
    <row r="45" spans="3:35" hidden="1" x14ac:dyDescent="0.2">
      <c r="Z45" s="9" t="s">
        <v>30</v>
      </c>
      <c r="AA45" s="10">
        <f>S26</f>
        <v>9225000</v>
      </c>
      <c r="AD45" s="42" t="s">
        <v>72</v>
      </c>
      <c r="AE45" s="42">
        <f>AE44*0.1</f>
        <v>40272.314062500001</v>
      </c>
    </row>
    <row r="46" spans="3:35" hidden="1" x14ac:dyDescent="0.2">
      <c r="Z46" s="43">
        <v>2.5000000000000001E-2</v>
      </c>
      <c r="AA46" s="30">
        <f>AA45*Z46</f>
        <v>230625</v>
      </c>
      <c r="AC46" s="16"/>
      <c r="AD46" s="44" t="s">
        <v>73</v>
      </c>
      <c r="AE46" s="44">
        <f>AE44-AE45</f>
        <v>362450.82656249998</v>
      </c>
    </row>
    <row r="47" spans="3:35" hidden="1" x14ac:dyDescent="0.2">
      <c r="Z47" s="45">
        <v>0.1</v>
      </c>
      <c r="AA47" s="30">
        <f>(AA45-AA46)*Z47</f>
        <v>899437.5</v>
      </c>
      <c r="AC47" s="36"/>
      <c r="AD47" s="42"/>
    </row>
    <row r="48" spans="3:35" hidden="1" x14ac:dyDescent="0.2">
      <c r="Z48" s="46">
        <v>0.05</v>
      </c>
      <c r="AA48" s="47">
        <f>AE46</f>
        <v>362450.82656249998</v>
      </c>
      <c r="AC48" s="16"/>
      <c r="AD48" s="35"/>
    </row>
    <row r="49" spans="26:31" hidden="1" x14ac:dyDescent="0.2">
      <c r="Z49" s="43">
        <v>5.0000000000000001E-3</v>
      </c>
      <c r="AA49" s="33">
        <f>(AA45-AA46-AA47)*Z49</f>
        <v>40474.6875</v>
      </c>
      <c r="AC49" s="36"/>
      <c r="AD49" s="29"/>
      <c r="AE49" s="29"/>
    </row>
    <row r="50" spans="26:31" hidden="1" x14ac:dyDescent="0.2">
      <c r="AC50" s="37"/>
      <c r="AD50" s="30"/>
      <c r="AE50" s="30"/>
    </row>
    <row r="51" spans="26:31" hidden="1" x14ac:dyDescent="0.2">
      <c r="Z51" s="48" t="s">
        <v>74</v>
      </c>
      <c r="AA51" s="49">
        <f>AA45-AA46-AA47-AA48-AA49</f>
        <v>7692011.9859375004</v>
      </c>
      <c r="AC51" s="45"/>
      <c r="AD51" s="30"/>
      <c r="AE51" s="30"/>
    </row>
    <row r="52" spans="26:31" hidden="1" x14ac:dyDescent="0.2">
      <c r="Z52" s="30" t="str">
        <f>AA25</f>
        <v>Legal and Misc. Fees</v>
      </c>
      <c r="AA52" s="10">
        <f>AA51*10%</f>
        <v>769201.19859375013</v>
      </c>
      <c r="AD52" s="30"/>
    </row>
    <row r="53" spans="26:31" hidden="1" x14ac:dyDescent="0.2">
      <c r="AD53" s="30"/>
    </row>
    <row r="54" spans="26:31" hidden="1" x14ac:dyDescent="0.2">
      <c r="Z54" s="50" t="s">
        <v>75</v>
      </c>
      <c r="AA54" s="51">
        <f>AA51+AA52</f>
        <v>8461213.184531251</v>
      </c>
      <c r="AC54" s="52"/>
      <c r="AD54" s="42"/>
      <c r="AE54" s="53"/>
    </row>
    <row r="55" spans="26:31" hidden="1" x14ac:dyDescent="0.2">
      <c r="AA55" s="10">
        <v>8397056</v>
      </c>
      <c r="AC55" s="32"/>
      <c r="AD55" s="30"/>
    </row>
    <row r="56" spans="26:31" hidden="1" x14ac:dyDescent="0.2">
      <c r="AA56" s="10">
        <f>AA54-AA55</f>
        <v>64157.184531250969</v>
      </c>
      <c r="AC56" s="16"/>
      <c r="AD56" s="42"/>
    </row>
    <row r="57" spans="26:31" hidden="1" x14ac:dyDescent="0.2">
      <c r="AA57" s="10">
        <f>AA56/5</f>
        <v>12831.436906250194</v>
      </c>
    </row>
    <row r="58" spans="26:31" x14ac:dyDescent="0.2">
      <c r="AC58" s="16"/>
      <c r="AD58" s="35"/>
    </row>
    <row r="59" spans="26:31" x14ac:dyDescent="0.2">
      <c r="AC59" s="36"/>
      <c r="AD59" s="29"/>
      <c r="AE59" s="29"/>
    </row>
    <row r="60" spans="26:31" x14ac:dyDescent="0.2">
      <c r="AC60" s="37"/>
      <c r="AD60" s="30"/>
      <c r="AE60" s="30"/>
    </row>
    <row r="61" spans="26:31" x14ac:dyDescent="0.2">
      <c r="AC61" s="37"/>
      <c r="AD61" s="30"/>
      <c r="AE61" s="30"/>
    </row>
    <row r="62" spans="26:31" x14ac:dyDescent="0.2">
      <c r="AC62" s="45"/>
      <c r="AD62" s="30"/>
      <c r="AE62" s="30"/>
    </row>
    <row r="63" spans="26:31" x14ac:dyDescent="0.2">
      <c r="AD63" s="30"/>
    </row>
    <row r="64" spans="26:31" x14ac:dyDescent="0.2">
      <c r="AD64" s="30"/>
    </row>
    <row r="65" spans="29:31" x14ac:dyDescent="0.2">
      <c r="AC65" s="52"/>
      <c r="AD65" s="42"/>
      <c r="AE65" s="53"/>
    </row>
    <row r="66" spans="29:31" x14ac:dyDescent="0.2">
      <c r="AC66" s="32"/>
      <c r="AD66" s="30"/>
    </row>
    <row r="67" spans="29:31" x14ac:dyDescent="0.2">
      <c r="AC67" s="16"/>
      <c r="AD67" s="42"/>
    </row>
    <row r="69" spans="29:31" x14ac:dyDescent="0.2">
      <c r="AD69" s="26"/>
    </row>
    <row r="70" spans="29:31" x14ac:dyDescent="0.2">
      <c r="AD70" s="30"/>
    </row>
    <row r="71" spans="29:31" x14ac:dyDescent="0.2">
      <c r="AD71" s="26"/>
    </row>
    <row r="72" spans="29:31" x14ac:dyDescent="0.2">
      <c r="AD72" s="54"/>
    </row>
  </sheetData>
  <sheetProtection algorithmName="SHA-512" hashValue="II1+6UqzobXyTbrLzifJTsLCCkim4HqnN7jhxGPYeRJEz9eTAFBcM4lPKgK0khTtW0tFlzimmbXkHZvvCYYnUA==" saltValue="IDWkKrN11LCw6UTN3abYUg==" spinCount="100000" sheet="1" objects="1" scenarios="1"/>
  <mergeCells count="23">
    <mergeCell ref="AL24:AN24"/>
    <mergeCell ref="V24:V25"/>
    <mergeCell ref="X24:X25"/>
    <mergeCell ref="Z24:Z25"/>
    <mergeCell ref="AC24:AC25"/>
    <mergeCell ref="AE24:AE25"/>
    <mergeCell ref="AF24:AF25"/>
    <mergeCell ref="B3:D3"/>
    <mergeCell ref="H23:Y23"/>
    <mergeCell ref="B24:B25"/>
    <mergeCell ref="C24:C25"/>
    <mergeCell ref="D24:D25"/>
    <mergeCell ref="E24:E25"/>
    <mergeCell ref="F24:F25"/>
    <mergeCell ref="G24:G25"/>
    <mergeCell ref="H24:H25"/>
    <mergeCell ref="I24:I25"/>
    <mergeCell ref="L24:L25"/>
    <mergeCell ref="M24:M25"/>
    <mergeCell ref="N24:N25"/>
    <mergeCell ref="O24:O25"/>
    <mergeCell ref="Q24:Q25"/>
    <mergeCell ref="S24:S25"/>
  </mergeCells>
  <pageMargins left="0.7" right="0.7" top="0.75" bottom="0.75" header="0.3" footer="0.3"/>
  <pageSetup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CEC9D-8650-4B84-BDB1-EF17BFEAE088}">
  <sheetPr>
    <tabColor rgb="FF00B050"/>
  </sheetPr>
  <dimension ref="B1:AN49"/>
  <sheetViews>
    <sheetView topLeftCell="A17" zoomScale="115" zoomScaleNormal="115" workbookViewId="0">
      <selection activeCell="L34" sqref="L34"/>
    </sheetView>
  </sheetViews>
  <sheetFormatPr defaultColWidth="9.28515625" defaultRowHeight="12.75" x14ac:dyDescent="0.2"/>
  <cols>
    <col min="1" max="1" width="2.42578125" style="9" customWidth="1"/>
    <col min="2" max="2" width="5.7109375" style="8" customWidth="1"/>
    <col min="3" max="3" width="8.28515625" style="9" customWidth="1"/>
    <col min="4" max="4" width="8.5703125" style="9" customWidth="1"/>
    <col min="5" max="5" width="26.85546875" style="9" customWidth="1"/>
    <col min="6" max="6" width="8.42578125" style="9" customWidth="1"/>
    <col min="7" max="7" width="8.5703125" style="9" customWidth="1"/>
    <col min="8" max="8" width="9.7109375" style="8" customWidth="1"/>
    <col min="9" max="9" width="13.5703125" style="8" customWidth="1"/>
    <col min="10" max="10" width="12.5703125" style="8" customWidth="1"/>
    <col min="11" max="11" width="11.5703125" style="8" customWidth="1"/>
    <col min="12" max="12" width="13.5703125" style="8" customWidth="1"/>
    <col min="13" max="13" width="16.42578125" style="8" customWidth="1"/>
    <col min="14" max="15" width="15.28515625" style="8" customWidth="1"/>
    <col min="16" max="16" width="11" style="8" customWidth="1"/>
    <col min="17" max="17" width="16.42578125" style="8" customWidth="1"/>
    <col min="18" max="18" width="11" style="8" customWidth="1"/>
    <col min="19" max="19" width="16.42578125" style="8" customWidth="1"/>
    <col min="20" max="20" width="13.140625" style="8" customWidth="1"/>
    <col min="21" max="21" width="16.42578125" style="8" customWidth="1"/>
    <col min="22" max="22" width="11" style="8" customWidth="1"/>
    <col min="23" max="24" width="16.42578125" style="8" customWidth="1"/>
    <col min="25" max="25" width="15.140625" style="9" customWidth="1"/>
    <col min="26" max="26" width="13.28515625" style="10" customWidth="1"/>
    <col min="27" max="27" width="11" style="9" customWidth="1"/>
    <col min="28" max="28" width="15.42578125" style="9" customWidth="1"/>
    <col min="29" max="29" width="15.5703125" style="9" customWidth="1"/>
    <col min="30" max="30" width="14.28515625" style="9" customWidth="1"/>
    <col min="31" max="31" width="12.7109375" style="9" customWidth="1"/>
    <col min="32" max="32" width="12.5703125" style="9" customWidth="1"/>
    <col min="33" max="33" width="11.42578125" style="9" customWidth="1"/>
    <col min="34" max="34" width="13.5703125" style="9" customWidth="1"/>
    <col min="35" max="35" width="15" style="9" customWidth="1"/>
    <col min="36" max="36" width="16.28515625" style="9" customWidth="1"/>
    <col min="37" max="37" width="12.42578125" style="9" customWidth="1"/>
    <col min="38" max="39" width="13.5703125" style="9" customWidth="1"/>
    <col min="40" max="40" width="11" style="9" customWidth="1"/>
    <col min="41" max="16384" width="9.28515625" style="9"/>
  </cols>
  <sheetData>
    <row r="1" spans="2:27" hidden="1" x14ac:dyDescent="0.2"/>
    <row r="2" spans="2:27" hidden="1" x14ac:dyDescent="0.2"/>
    <row r="3" spans="2:27" hidden="1" x14ac:dyDescent="0.2">
      <c r="B3" s="337"/>
      <c r="C3" s="337"/>
      <c r="D3" s="337"/>
    </row>
    <row r="4" spans="2:27" hidden="1" x14ac:dyDescent="0.2">
      <c r="B4" s="11"/>
      <c r="C4" s="12"/>
      <c r="D4" s="12"/>
    </row>
    <row r="5" spans="2:27" hidden="1" x14ac:dyDescent="0.2">
      <c r="B5" s="11"/>
      <c r="C5" s="12"/>
      <c r="D5" s="12"/>
    </row>
    <row r="6" spans="2:27" hidden="1" x14ac:dyDescent="0.2">
      <c r="B6" s="8" t="s">
        <v>0</v>
      </c>
      <c r="C6" s="8"/>
      <c r="D6" s="8"/>
      <c r="AA6" s="13" t="s">
        <v>1</v>
      </c>
    </row>
    <row r="7" spans="2:27" hidden="1" x14ac:dyDescent="0.2">
      <c r="B7" s="8" t="s">
        <v>2</v>
      </c>
      <c r="C7" s="14" t="s">
        <v>3</v>
      </c>
      <c r="D7" s="9" t="s">
        <v>4</v>
      </c>
    </row>
    <row r="8" spans="2:27" hidden="1" x14ac:dyDescent="0.2">
      <c r="B8" s="8" t="s">
        <v>5</v>
      </c>
      <c r="C8" s="15">
        <f>'[1]125.26 on 84.64sqm (San Diego)'!E8</f>
        <v>184.43</v>
      </c>
      <c r="D8" s="15">
        <f>'[1]125.26 on 84.64sqm (San Diego)'!L7</f>
        <v>37954.779591172803</v>
      </c>
    </row>
    <row r="9" spans="2:27" hidden="1" x14ac:dyDescent="0.2">
      <c r="B9" s="8" t="s">
        <v>6</v>
      </c>
      <c r="C9" s="8">
        <f>'[1]167.62 on 80sqm (San Esteban)'!E8</f>
        <v>136.96</v>
      </c>
      <c r="D9" s="15">
        <f>'[1]167.62 on 80sqm (San Esteban)'!R7</f>
        <v>43808.411214953267</v>
      </c>
      <c r="G9" s="16" t="s">
        <v>7</v>
      </c>
      <c r="H9" s="14"/>
      <c r="I9" s="14"/>
    </row>
    <row r="10" spans="2:27" hidden="1" x14ac:dyDescent="0.2">
      <c r="C10" s="15"/>
      <c r="D10" s="15"/>
      <c r="G10" s="17">
        <f>C8</f>
        <v>184.43</v>
      </c>
      <c r="H10" s="25"/>
      <c r="I10" s="25"/>
    </row>
    <row r="11" spans="2:27" hidden="1" x14ac:dyDescent="0.2">
      <c r="C11" s="8"/>
      <c r="D11" s="8"/>
      <c r="G11" s="17">
        <f>C9</f>
        <v>136.96</v>
      </c>
      <c r="H11" s="25"/>
      <c r="I11" s="25"/>
    </row>
    <row r="12" spans="2:27" hidden="1" x14ac:dyDescent="0.2">
      <c r="B12" s="8" t="s">
        <v>8</v>
      </c>
      <c r="C12" s="15"/>
      <c r="D12" s="8"/>
    </row>
    <row r="13" spans="2:27" hidden="1" x14ac:dyDescent="0.2">
      <c r="B13" s="8" t="s">
        <v>9</v>
      </c>
      <c r="C13" s="8"/>
      <c r="D13" s="8"/>
    </row>
    <row r="14" spans="2:27" hidden="1" x14ac:dyDescent="0.2">
      <c r="B14" s="8" t="s">
        <v>10</v>
      </c>
      <c r="C14" s="15"/>
      <c r="D14" s="8"/>
    </row>
    <row r="15" spans="2:27" hidden="1" x14ac:dyDescent="0.2">
      <c r="C15" s="15"/>
      <c r="D15" s="8"/>
    </row>
    <row r="16" spans="2:27" hidden="1" x14ac:dyDescent="0.2">
      <c r="C16" s="15"/>
      <c r="D16" s="8"/>
    </row>
    <row r="17" spans="2:40" x14ac:dyDescent="0.2">
      <c r="C17" s="15"/>
      <c r="D17" s="8"/>
    </row>
    <row r="18" spans="2:40" x14ac:dyDescent="0.2">
      <c r="C18" s="15"/>
      <c r="D18" s="8"/>
      <c r="E18" s="9" t="s">
        <v>11</v>
      </c>
    </row>
    <row r="19" spans="2:40" x14ac:dyDescent="0.2">
      <c r="C19" s="15"/>
      <c r="E19" s="9" t="s">
        <v>12</v>
      </c>
    </row>
    <row r="20" spans="2:40" x14ac:dyDescent="0.2">
      <c r="C20" s="15"/>
      <c r="E20" s="9" t="s">
        <v>76</v>
      </c>
    </row>
    <row r="21" spans="2:40" x14ac:dyDescent="0.2">
      <c r="C21" s="15"/>
      <c r="D21" s="8"/>
    </row>
    <row r="22" spans="2:40" x14ac:dyDescent="0.2">
      <c r="C22" s="15"/>
      <c r="D22" s="8"/>
      <c r="Q22" s="8" t="s">
        <v>15</v>
      </c>
      <c r="R22" s="27">
        <f>S27/G27</f>
        <v>53777.644506826589</v>
      </c>
      <c r="Y22" s="30"/>
    </row>
    <row r="23" spans="2:40" x14ac:dyDescent="0.2">
      <c r="B23" s="15"/>
      <c r="H23" s="338" t="s">
        <v>16</v>
      </c>
      <c r="I23" s="338"/>
      <c r="J23" s="338"/>
      <c r="K23" s="338"/>
      <c r="L23" s="338"/>
      <c r="M23" s="338"/>
      <c r="N23" s="338"/>
      <c r="O23" s="338"/>
      <c r="P23" s="338"/>
      <c r="Q23" s="338"/>
      <c r="R23" s="338"/>
      <c r="S23" s="338"/>
      <c r="T23" s="338"/>
      <c r="U23" s="338"/>
      <c r="V23" s="338"/>
      <c r="W23" s="338"/>
      <c r="X23" s="338"/>
      <c r="Y23" s="335">
        <f>W26+X26</f>
        <v>9693474.1999999993</v>
      </c>
      <c r="AI23" s="19">
        <v>9.5565207999999992E-3</v>
      </c>
    </row>
    <row r="24" spans="2:40" s="20" customFormat="1" ht="14.25" customHeight="1" x14ac:dyDescent="0.25">
      <c r="B24" s="339" t="s">
        <v>17</v>
      </c>
      <c r="C24" s="340" t="s">
        <v>18</v>
      </c>
      <c r="D24" s="339" t="s">
        <v>19</v>
      </c>
      <c r="E24" s="339" t="s">
        <v>20</v>
      </c>
      <c r="F24" s="340" t="s">
        <v>21</v>
      </c>
      <c r="G24" s="341" t="s">
        <v>22</v>
      </c>
      <c r="H24" s="343" t="s">
        <v>23</v>
      </c>
      <c r="I24" s="343" t="s">
        <v>24</v>
      </c>
      <c r="J24" s="56" t="s">
        <v>25</v>
      </c>
      <c r="K24" s="55" t="s">
        <v>26</v>
      </c>
      <c r="L24" s="345" t="s">
        <v>27</v>
      </c>
      <c r="M24" s="345" t="s">
        <v>28</v>
      </c>
      <c r="N24" s="345" t="s">
        <v>30</v>
      </c>
      <c r="O24" s="343" t="s">
        <v>77</v>
      </c>
      <c r="P24" s="57">
        <v>2.5000000000000001E-2</v>
      </c>
      <c r="Q24" s="348" t="s">
        <v>31</v>
      </c>
      <c r="R24" s="57">
        <v>0</v>
      </c>
      <c r="S24" s="348" t="s">
        <v>31</v>
      </c>
      <c r="T24" s="57">
        <v>0</v>
      </c>
      <c r="U24" s="348" t="s">
        <v>31</v>
      </c>
      <c r="V24" s="57">
        <v>0</v>
      </c>
      <c r="W24" s="348" t="s">
        <v>31</v>
      </c>
      <c r="X24" s="57">
        <v>0.15</v>
      </c>
      <c r="Y24" s="352" t="s">
        <v>31</v>
      </c>
      <c r="Z24" s="3">
        <v>0.1</v>
      </c>
      <c r="AA24" s="4">
        <v>0</v>
      </c>
      <c r="AB24" s="339" t="s">
        <v>32</v>
      </c>
      <c r="AC24" s="2">
        <v>0.2</v>
      </c>
      <c r="AD24" s="353" t="s">
        <v>33</v>
      </c>
      <c r="AE24" s="353" t="s">
        <v>34</v>
      </c>
      <c r="AF24" s="354" t="s">
        <v>78</v>
      </c>
      <c r="AG24" s="341" t="s">
        <v>46</v>
      </c>
      <c r="AH24" s="5">
        <f>100%-AC24</f>
        <v>0.8</v>
      </c>
      <c r="AI24" s="1" t="s">
        <v>35</v>
      </c>
      <c r="AL24" s="349" t="s">
        <v>36</v>
      </c>
      <c r="AM24" s="350"/>
      <c r="AN24" s="351"/>
    </row>
    <row r="25" spans="2:40" s="24" customFormat="1" ht="38.25" x14ac:dyDescent="0.2">
      <c r="B25" s="339"/>
      <c r="C25" s="340"/>
      <c r="D25" s="339"/>
      <c r="E25" s="339"/>
      <c r="F25" s="340"/>
      <c r="G25" s="342"/>
      <c r="H25" s="344"/>
      <c r="I25" s="344"/>
      <c r="J25" s="55">
        <v>350000</v>
      </c>
      <c r="K25" s="55">
        <v>150000</v>
      </c>
      <c r="L25" s="345"/>
      <c r="M25" s="345"/>
      <c r="N25" s="345"/>
      <c r="O25" s="344"/>
      <c r="P25" s="55" t="s">
        <v>37</v>
      </c>
      <c r="Q25" s="348"/>
      <c r="R25" s="55" t="s">
        <v>38</v>
      </c>
      <c r="S25" s="348"/>
      <c r="T25" s="56" t="s">
        <v>40</v>
      </c>
      <c r="U25" s="348"/>
      <c r="V25" s="55" t="s">
        <v>41</v>
      </c>
      <c r="W25" s="348"/>
      <c r="X25" s="56" t="s">
        <v>42</v>
      </c>
      <c r="Y25" s="352"/>
      <c r="Z25" s="6" t="s">
        <v>43</v>
      </c>
      <c r="AA25" s="1" t="s">
        <v>44</v>
      </c>
      <c r="AB25" s="339"/>
      <c r="AC25" s="1" t="s">
        <v>45</v>
      </c>
      <c r="AD25" s="353"/>
      <c r="AE25" s="353"/>
      <c r="AF25" s="355"/>
      <c r="AG25" s="342"/>
      <c r="AH25" s="1" t="s">
        <v>47</v>
      </c>
      <c r="AI25" s="7" t="s">
        <v>48</v>
      </c>
      <c r="AJ25" s="20"/>
      <c r="AK25" s="20"/>
      <c r="AL25" s="21" t="s">
        <v>49</v>
      </c>
      <c r="AM25" s="22" t="s">
        <v>50</v>
      </c>
      <c r="AN25" s="23" t="s">
        <v>51</v>
      </c>
    </row>
    <row r="26" spans="2:40" s="31" customFormat="1" x14ac:dyDescent="0.2">
      <c r="B26" s="61">
        <v>1</v>
      </c>
      <c r="C26" s="62" t="s">
        <v>52</v>
      </c>
      <c r="D26" s="62" t="s">
        <v>79</v>
      </c>
      <c r="E26" s="61" t="s">
        <v>80</v>
      </c>
      <c r="F26" s="63">
        <v>66</v>
      </c>
      <c r="G26" s="64">
        <v>156.74</v>
      </c>
      <c r="H26" s="64">
        <v>48000</v>
      </c>
      <c r="I26" s="64">
        <f>G26*H26</f>
        <v>7523520</v>
      </c>
      <c r="J26" s="61">
        <f>J25</f>
        <v>350000</v>
      </c>
      <c r="K26" s="61"/>
      <c r="L26" s="61">
        <f t="shared" ref="L26:L31" si="0">SUM(J26:K26)</f>
        <v>350000</v>
      </c>
      <c r="M26" s="61">
        <f>I26+J26+K26</f>
        <v>7873520</v>
      </c>
      <c r="N26" s="61">
        <f t="shared" ref="N26:N31" si="1">L26+M26</f>
        <v>8223520</v>
      </c>
      <c r="O26" s="61">
        <f>N26/F26</f>
        <v>124598.78787878787</v>
      </c>
      <c r="P26" s="61">
        <f t="shared" ref="P26:P31" si="2">N26*$P$24</f>
        <v>205588</v>
      </c>
      <c r="Q26" s="61">
        <f>N26+P26</f>
        <v>8429108</v>
      </c>
      <c r="R26" s="61"/>
      <c r="S26" s="61">
        <f t="shared" ref="S26:S31" si="3">Q26+R26</f>
        <v>8429108</v>
      </c>
      <c r="T26" s="61"/>
      <c r="U26" s="61">
        <f t="shared" ref="U26:U31" si="4">S26+T26</f>
        <v>8429108</v>
      </c>
      <c r="V26" s="61">
        <f t="shared" ref="V26:V31" si="5">U26*$V$24</f>
        <v>0</v>
      </c>
      <c r="W26" s="61">
        <f t="shared" ref="W26:W31" si="6">U26+V26</f>
        <v>8429108</v>
      </c>
      <c r="X26" s="61">
        <f>W26*$X$24</f>
        <v>1264366.2</v>
      </c>
      <c r="Y26" s="331">
        <v>9561140</v>
      </c>
      <c r="Z26" s="64">
        <f>Y26*$Z$24</f>
        <v>956114</v>
      </c>
      <c r="AA26" s="61"/>
      <c r="AB26" s="61">
        <f>Y26+Z26</f>
        <v>10517254</v>
      </c>
      <c r="AC26" s="61">
        <f t="shared" ref="AC26:AC31" si="7">AB26*$AC$24</f>
        <v>2103450.8000000003</v>
      </c>
      <c r="AD26" s="61">
        <v>50000</v>
      </c>
      <c r="AE26" s="61">
        <f t="shared" ref="AE26:AE31" si="8">AC26-AD26</f>
        <v>2053450.8000000003</v>
      </c>
      <c r="AF26" s="61">
        <v>12</v>
      </c>
      <c r="AG26" s="61">
        <f>AE26/AF26</f>
        <v>171120.90000000002</v>
      </c>
      <c r="AH26" s="61">
        <f t="shared" ref="AH26:AH31" si="9">AB26*$AH$24</f>
        <v>8413803.2000000011</v>
      </c>
      <c r="AI26" s="61">
        <f t="shared" ref="AI26:AI31" si="10">AH26*$AI$23</f>
        <v>80406.68528790657</v>
      </c>
      <c r="AJ26" s="66"/>
      <c r="AL26" s="61">
        <f>AB26</f>
        <v>10517254</v>
      </c>
      <c r="AM26" s="61">
        <f>AH26+(AG26*AF26)+AD26</f>
        <v>10517254.000000002</v>
      </c>
      <c r="AN26" s="61">
        <f>AM26-AL26</f>
        <v>0</v>
      </c>
    </row>
    <row r="27" spans="2:40" s="31" customFormat="1" x14ac:dyDescent="0.2">
      <c r="B27" s="61">
        <f>B26+1</f>
        <v>2</v>
      </c>
      <c r="C27" s="62" t="s">
        <v>55</v>
      </c>
      <c r="D27" s="62" t="s">
        <v>53</v>
      </c>
      <c r="E27" s="61" t="s">
        <v>54</v>
      </c>
      <c r="F27" s="63">
        <v>66</v>
      </c>
      <c r="G27" s="64">
        <f>G26</f>
        <v>156.74</v>
      </c>
      <c r="H27" s="64">
        <v>48000</v>
      </c>
      <c r="I27" s="64">
        <f t="shared" ref="I27:I31" si="11">G27*H27</f>
        <v>7523520</v>
      </c>
      <c r="J27" s="61">
        <f>J25</f>
        <v>350000</v>
      </c>
      <c r="K27" s="61"/>
      <c r="L27" s="61">
        <f t="shared" si="0"/>
        <v>350000</v>
      </c>
      <c r="M27" s="61">
        <f t="shared" ref="M27:M31" si="12">I27+J27+K27</f>
        <v>7873520</v>
      </c>
      <c r="N27" s="61">
        <f t="shared" si="1"/>
        <v>8223520</v>
      </c>
      <c r="O27" s="61">
        <f t="shared" ref="O27:O31" si="13">N27/F27</f>
        <v>124598.78787878787</v>
      </c>
      <c r="P27" s="61">
        <f t="shared" si="2"/>
        <v>205588</v>
      </c>
      <c r="Q27" s="61">
        <f t="shared" ref="Q27:Q31" si="14">N27+P27</f>
        <v>8429108</v>
      </c>
      <c r="R27" s="61">
        <f>Q27*$R$24</f>
        <v>0</v>
      </c>
      <c r="S27" s="61">
        <f t="shared" si="3"/>
        <v>8429108</v>
      </c>
      <c r="T27" s="61"/>
      <c r="U27" s="61">
        <f t="shared" si="4"/>
        <v>8429108</v>
      </c>
      <c r="V27" s="61">
        <f t="shared" si="5"/>
        <v>0</v>
      </c>
      <c r="W27" s="61">
        <f t="shared" si="6"/>
        <v>8429108</v>
      </c>
      <c r="X27" s="61">
        <f t="shared" ref="X27:X31" si="15">W27*$X$24</f>
        <v>1264366.2</v>
      </c>
      <c r="Y27" s="331">
        <f t="shared" ref="Y27:Y31" si="16">W27+X27</f>
        <v>9693474.1999999993</v>
      </c>
      <c r="Z27" s="64">
        <f t="shared" ref="Z27:Z31" si="17">Y27*$Z$24</f>
        <v>969347.41999999993</v>
      </c>
      <c r="AA27" s="61"/>
      <c r="AB27" s="61">
        <f t="shared" ref="AB27:AB31" si="18">Y27+Z27</f>
        <v>10662821.619999999</v>
      </c>
      <c r="AC27" s="61">
        <f t="shared" si="7"/>
        <v>2132564.324</v>
      </c>
      <c r="AD27" s="61">
        <f>'[2]Project Data'!$E$109</f>
        <v>50000</v>
      </c>
      <c r="AE27" s="61">
        <f t="shared" si="8"/>
        <v>2082564.324</v>
      </c>
      <c r="AF27" s="61">
        <v>6</v>
      </c>
      <c r="AG27" s="61">
        <f t="shared" ref="AG27:AG31" si="19">AE27/AF27</f>
        <v>347094.054</v>
      </c>
      <c r="AH27" s="61">
        <f t="shared" si="9"/>
        <v>8530257.2960000001</v>
      </c>
      <c r="AI27" s="61">
        <f t="shared" si="10"/>
        <v>81519.581278575744</v>
      </c>
      <c r="AJ27" s="66"/>
      <c r="AL27" s="61">
        <f t="shared" ref="AL27:AL31" si="20">AB27</f>
        <v>10662821.619999999</v>
      </c>
      <c r="AM27" s="61">
        <f t="shared" ref="AM27:AM31" si="21">AH27+(AG27*AF27)+AD27</f>
        <v>10662821.620000001</v>
      </c>
      <c r="AN27" s="61">
        <f t="shared" ref="AN27:AN31" si="22">AM27-AL27</f>
        <v>0</v>
      </c>
    </row>
    <row r="28" spans="2:40" s="31" customFormat="1" x14ac:dyDescent="0.2">
      <c r="B28" s="61">
        <f>B27+1</f>
        <v>3</v>
      </c>
      <c r="C28" s="62" t="s">
        <v>58</v>
      </c>
      <c r="D28" s="62" t="s">
        <v>56</v>
      </c>
      <c r="E28" s="61" t="s">
        <v>81</v>
      </c>
      <c r="F28" s="63">
        <v>52</v>
      </c>
      <c r="G28" s="64">
        <v>145.36000000000001</v>
      </c>
      <c r="H28" s="64">
        <v>48000</v>
      </c>
      <c r="I28" s="64">
        <f t="shared" si="11"/>
        <v>6977280.0000000009</v>
      </c>
      <c r="J28" s="61"/>
      <c r="K28" s="61"/>
      <c r="L28" s="61">
        <f t="shared" si="0"/>
        <v>0</v>
      </c>
      <c r="M28" s="61">
        <f t="shared" si="12"/>
        <v>6977280.0000000009</v>
      </c>
      <c r="N28" s="61">
        <f t="shared" si="1"/>
        <v>6977280.0000000009</v>
      </c>
      <c r="O28" s="61">
        <f t="shared" si="13"/>
        <v>134178.46153846156</v>
      </c>
      <c r="P28" s="61">
        <f t="shared" si="2"/>
        <v>174432.00000000003</v>
      </c>
      <c r="Q28" s="61">
        <f t="shared" si="14"/>
        <v>7151712.0000000009</v>
      </c>
      <c r="R28" s="61">
        <f>Q28*$R$24</f>
        <v>0</v>
      </c>
      <c r="S28" s="61">
        <f t="shared" si="3"/>
        <v>7151712.0000000009</v>
      </c>
      <c r="T28" s="61"/>
      <c r="U28" s="61">
        <f t="shared" si="4"/>
        <v>7151712.0000000009</v>
      </c>
      <c r="V28" s="61">
        <f t="shared" si="5"/>
        <v>0</v>
      </c>
      <c r="W28" s="61">
        <f t="shared" si="6"/>
        <v>7151712.0000000009</v>
      </c>
      <c r="X28" s="61">
        <f t="shared" si="15"/>
        <v>1072756.8</v>
      </c>
      <c r="Y28" s="331">
        <f>W28+X28+135000+335000+300000</f>
        <v>8994468.8000000007</v>
      </c>
      <c r="Z28" s="64">
        <f t="shared" si="17"/>
        <v>899446.88000000012</v>
      </c>
      <c r="AA28" s="61"/>
      <c r="AB28" s="61">
        <f t="shared" si="18"/>
        <v>9893915.6800000016</v>
      </c>
      <c r="AC28" s="61">
        <f t="shared" si="7"/>
        <v>1978783.1360000004</v>
      </c>
      <c r="AD28" s="61">
        <f>'[2]Project Data'!$E$109</f>
        <v>50000</v>
      </c>
      <c r="AE28" s="61">
        <f t="shared" si="8"/>
        <v>1928783.1360000004</v>
      </c>
      <c r="AF28" s="61">
        <v>12</v>
      </c>
      <c r="AG28" s="61">
        <f t="shared" si="19"/>
        <v>160731.92800000004</v>
      </c>
      <c r="AH28" s="61">
        <f t="shared" si="9"/>
        <v>7915132.5440000016</v>
      </c>
      <c r="AI28" s="61">
        <f t="shared" si="10"/>
        <v>75641.128791492927</v>
      </c>
      <c r="AJ28" s="66"/>
      <c r="AL28" s="61">
        <f t="shared" si="20"/>
        <v>9893915.6800000016</v>
      </c>
      <c r="AM28" s="61">
        <f t="shared" si="21"/>
        <v>9893915.6800000016</v>
      </c>
      <c r="AN28" s="61">
        <f t="shared" si="22"/>
        <v>0</v>
      </c>
    </row>
    <row r="29" spans="2:40" s="31" customFormat="1" x14ac:dyDescent="0.2">
      <c r="B29" s="61">
        <f>B28+1</f>
        <v>4</v>
      </c>
      <c r="C29" s="62" t="s">
        <v>60</v>
      </c>
      <c r="D29" s="62" t="s">
        <v>56</v>
      </c>
      <c r="E29" s="61" t="s">
        <v>57</v>
      </c>
      <c r="F29" s="63">
        <v>52</v>
      </c>
      <c r="G29" s="64">
        <v>197</v>
      </c>
      <c r="H29" s="64">
        <v>48000</v>
      </c>
      <c r="I29" s="64">
        <f t="shared" si="11"/>
        <v>9456000</v>
      </c>
      <c r="J29" s="61"/>
      <c r="K29" s="61"/>
      <c r="L29" s="61">
        <f t="shared" si="0"/>
        <v>0</v>
      </c>
      <c r="M29" s="61">
        <f t="shared" si="12"/>
        <v>9456000</v>
      </c>
      <c r="N29" s="61">
        <f t="shared" si="1"/>
        <v>9456000</v>
      </c>
      <c r="O29" s="61">
        <f t="shared" si="13"/>
        <v>181846.15384615384</v>
      </c>
      <c r="P29" s="61">
        <f t="shared" si="2"/>
        <v>236400</v>
      </c>
      <c r="Q29" s="61">
        <f t="shared" si="14"/>
        <v>9692400</v>
      </c>
      <c r="R29" s="61">
        <f>Q29*$R$24</f>
        <v>0</v>
      </c>
      <c r="S29" s="61">
        <f t="shared" si="3"/>
        <v>9692400</v>
      </c>
      <c r="T29" s="61"/>
      <c r="U29" s="61">
        <f t="shared" si="4"/>
        <v>9692400</v>
      </c>
      <c r="V29" s="61">
        <f t="shared" si="5"/>
        <v>0</v>
      </c>
      <c r="W29" s="61">
        <f t="shared" si="6"/>
        <v>9692400</v>
      </c>
      <c r="X29" s="61">
        <f t="shared" si="15"/>
        <v>1453860</v>
      </c>
      <c r="Y29" s="331">
        <f t="shared" si="16"/>
        <v>11146260</v>
      </c>
      <c r="Z29" s="64">
        <f t="shared" si="17"/>
        <v>1114626</v>
      </c>
      <c r="AA29" s="61"/>
      <c r="AB29" s="61">
        <f t="shared" si="18"/>
        <v>12260886</v>
      </c>
      <c r="AC29" s="61">
        <f t="shared" si="7"/>
        <v>2452177.2000000002</v>
      </c>
      <c r="AD29" s="61">
        <f>'[2]Project Data'!$E$109</f>
        <v>50000</v>
      </c>
      <c r="AE29" s="61">
        <f t="shared" si="8"/>
        <v>2402177.2000000002</v>
      </c>
      <c r="AF29" s="61">
        <v>6</v>
      </c>
      <c r="AG29" s="61">
        <f t="shared" si="19"/>
        <v>400362.8666666667</v>
      </c>
      <c r="AH29" s="61">
        <f t="shared" si="9"/>
        <v>9808708.8000000007</v>
      </c>
      <c r="AI29" s="61">
        <f t="shared" si="10"/>
        <v>93737.129668343041</v>
      </c>
      <c r="AJ29" s="66"/>
      <c r="AL29" s="61">
        <f t="shared" si="20"/>
        <v>12260886</v>
      </c>
      <c r="AM29" s="61">
        <f t="shared" si="21"/>
        <v>12260886</v>
      </c>
      <c r="AN29" s="61">
        <f t="shared" si="22"/>
        <v>0</v>
      </c>
    </row>
    <row r="30" spans="2:40" s="31" customFormat="1" x14ac:dyDescent="0.2">
      <c r="B30" s="61">
        <f>B29+1</f>
        <v>5</v>
      </c>
      <c r="C30" s="62" t="s">
        <v>61</v>
      </c>
      <c r="D30" s="62" t="s">
        <v>79</v>
      </c>
      <c r="E30" s="61" t="s">
        <v>82</v>
      </c>
      <c r="F30" s="63">
        <v>56</v>
      </c>
      <c r="G30" s="64">
        <v>161.92000000000002</v>
      </c>
      <c r="H30" s="64">
        <v>48000</v>
      </c>
      <c r="I30" s="64">
        <f>G30*H30</f>
        <v>7772160.0000000009</v>
      </c>
      <c r="J30" s="61"/>
      <c r="K30" s="61"/>
      <c r="L30" s="61">
        <f t="shared" si="0"/>
        <v>0</v>
      </c>
      <c r="M30" s="61">
        <f t="shared" si="12"/>
        <v>7772160.0000000009</v>
      </c>
      <c r="N30" s="61">
        <f t="shared" si="1"/>
        <v>7772160.0000000009</v>
      </c>
      <c r="O30" s="61">
        <f t="shared" si="13"/>
        <v>138788.57142857145</v>
      </c>
      <c r="P30" s="61">
        <f t="shared" si="2"/>
        <v>194304.00000000003</v>
      </c>
      <c r="Q30" s="61">
        <f t="shared" si="14"/>
        <v>7966464.0000000009</v>
      </c>
      <c r="R30" s="61">
        <f>Q30*$R$24</f>
        <v>0</v>
      </c>
      <c r="S30" s="61">
        <f t="shared" si="3"/>
        <v>7966464.0000000009</v>
      </c>
      <c r="T30" s="61"/>
      <c r="U30" s="61">
        <f t="shared" si="4"/>
        <v>7966464.0000000009</v>
      </c>
      <c r="V30" s="61">
        <f t="shared" si="5"/>
        <v>0</v>
      </c>
      <c r="W30" s="61">
        <f t="shared" si="6"/>
        <v>7966464.0000000009</v>
      </c>
      <c r="X30" s="61">
        <f t="shared" si="15"/>
        <v>1194969.6000000001</v>
      </c>
      <c r="Y30" s="331">
        <f>W30+X30+335000</f>
        <v>9496433.6000000015</v>
      </c>
      <c r="Z30" s="64">
        <f t="shared" si="17"/>
        <v>949643.36000000022</v>
      </c>
      <c r="AA30" s="61"/>
      <c r="AB30" s="61">
        <f t="shared" si="18"/>
        <v>10446076.960000001</v>
      </c>
      <c r="AC30" s="61">
        <f t="shared" si="7"/>
        <v>2089215.3920000002</v>
      </c>
      <c r="AD30" s="61">
        <f>'[2]Project Data'!$E$109</f>
        <v>50000</v>
      </c>
      <c r="AE30" s="61">
        <f t="shared" si="8"/>
        <v>2039215.3920000002</v>
      </c>
      <c r="AF30" s="61">
        <v>12</v>
      </c>
      <c r="AG30" s="61">
        <f t="shared" si="19"/>
        <v>169934.61600000001</v>
      </c>
      <c r="AH30" s="61">
        <f t="shared" si="9"/>
        <v>8356861.5680000009</v>
      </c>
      <c r="AI30" s="61">
        <f t="shared" si="10"/>
        <v>79862.521397312623</v>
      </c>
      <c r="AJ30" s="66"/>
      <c r="AL30" s="61">
        <f t="shared" si="20"/>
        <v>10446076.960000001</v>
      </c>
      <c r="AM30" s="61">
        <f t="shared" si="21"/>
        <v>10446076.960000001</v>
      </c>
      <c r="AN30" s="61">
        <f t="shared" si="22"/>
        <v>0</v>
      </c>
    </row>
    <row r="31" spans="2:40" s="31" customFormat="1" x14ac:dyDescent="0.2">
      <c r="B31" s="61">
        <f>B30+1</f>
        <v>6</v>
      </c>
      <c r="C31" s="62" t="s">
        <v>62</v>
      </c>
      <c r="D31" s="62" t="s">
        <v>56</v>
      </c>
      <c r="E31" s="61" t="s">
        <v>83</v>
      </c>
      <c r="F31" s="63">
        <v>56</v>
      </c>
      <c r="G31" s="64">
        <v>213.56</v>
      </c>
      <c r="H31" s="64">
        <v>48000</v>
      </c>
      <c r="I31" s="64">
        <f t="shared" si="11"/>
        <v>10250880</v>
      </c>
      <c r="J31" s="61"/>
      <c r="K31" s="61"/>
      <c r="L31" s="61">
        <f t="shared" si="0"/>
        <v>0</v>
      </c>
      <c r="M31" s="61">
        <f t="shared" si="12"/>
        <v>10250880</v>
      </c>
      <c r="N31" s="61">
        <f t="shared" si="1"/>
        <v>10250880</v>
      </c>
      <c r="O31" s="61">
        <f t="shared" si="13"/>
        <v>183051.42857142858</v>
      </c>
      <c r="P31" s="61">
        <f t="shared" si="2"/>
        <v>256272</v>
      </c>
      <c r="Q31" s="61">
        <f t="shared" si="14"/>
        <v>10507152</v>
      </c>
      <c r="R31" s="61">
        <f>Q31*$R$24</f>
        <v>0</v>
      </c>
      <c r="S31" s="61">
        <f t="shared" si="3"/>
        <v>10507152</v>
      </c>
      <c r="T31" s="61"/>
      <c r="U31" s="61">
        <f t="shared" si="4"/>
        <v>10507152</v>
      </c>
      <c r="V31" s="61">
        <f t="shared" si="5"/>
        <v>0</v>
      </c>
      <c r="W31" s="61">
        <f t="shared" si="6"/>
        <v>10507152</v>
      </c>
      <c r="X31" s="61">
        <f t="shared" si="15"/>
        <v>1576072.8</v>
      </c>
      <c r="Y31" s="331">
        <f t="shared" si="16"/>
        <v>12083224.800000001</v>
      </c>
      <c r="Z31" s="64">
        <f t="shared" si="17"/>
        <v>1208322.4800000002</v>
      </c>
      <c r="AA31" s="61"/>
      <c r="AB31" s="61">
        <f t="shared" si="18"/>
        <v>13291547.280000001</v>
      </c>
      <c r="AC31" s="61">
        <f t="shared" si="7"/>
        <v>2658309.4560000002</v>
      </c>
      <c r="AD31" s="61">
        <f>'[2]Project Data'!$E$109</f>
        <v>50000</v>
      </c>
      <c r="AE31" s="61">
        <f t="shared" si="8"/>
        <v>2608309.4560000002</v>
      </c>
      <c r="AF31" s="61">
        <v>6</v>
      </c>
      <c r="AG31" s="61">
        <f t="shared" si="19"/>
        <v>434718.24266666669</v>
      </c>
      <c r="AH31" s="61">
        <f t="shared" si="9"/>
        <v>10633237.824000001</v>
      </c>
      <c r="AI31" s="61">
        <f t="shared" si="10"/>
        <v>101616.75843640274</v>
      </c>
      <c r="AJ31" s="66"/>
      <c r="AL31" s="61">
        <f t="shared" si="20"/>
        <v>13291547.280000001</v>
      </c>
      <c r="AM31" s="61">
        <f t="shared" si="21"/>
        <v>13291547.280000001</v>
      </c>
      <c r="AN31" s="61">
        <f t="shared" si="22"/>
        <v>0</v>
      </c>
    </row>
    <row r="32" spans="2:40" s="65" customFormat="1" x14ac:dyDescent="0.2">
      <c r="I32" s="66"/>
      <c r="J32" s="67"/>
      <c r="L32" s="68"/>
      <c r="Z32" s="66"/>
    </row>
    <row r="33" spans="3:36" s="65" customFormat="1" x14ac:dyDescent="0.2">
      <c r="C33" s="69" t="s">
        <v>63</v>
      </c>
      <c r="M33" s="70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I33" s="68"/>
    </row>
    <row r="34" spans="3:36" x14ac:dyDescent="0.2">
      <c r="C34" s="31" t="s">
        <v>64</v>
      </c>
      <c r="M34" s="27"/>
      <c r="N34" s="59"/>
      <c r="O34" s="59"/>
      <c r="Q34" s="59"/>
      <c r="Y34" s="330"/>
      <c r="AB34" s="32"/>
      <c r="AC34" s="33"/>
    </row>
    <row r="35" spans="3:36" x14ac:dyDescent="0.2">
      <c r="C35" s="31" t="s">
        <v>65</v>
      </c>
      <c r="W35" s="26"/>
      <c r="X35" s="26"/>
      <c r="Y35" s="330"/>
    </row>
    <row r="36" spans="3:36" x14ac:dyDescent="0.2">
      <c r="C36" s="31" t="s">
        <v>66</v>
      </c>
      <c r="V36" s="60"/>
      <c r="W36" s="26"/>
      <c r="X36" s="26"/>
      <c r="Y36" s="330"/>
      <c r="AB36" s="16"/>
      <c r="AC36" s="35"/>
      <c r="AE36" s="30"/>
      <c r="AF36" s="30"/>
      <c r="AG36" s="30"/>
    </row>
    <row r="37" spans="3:36" x14ac:dyDescent="0.2">
      <c r="C37" s="31" t="s">
        <v>67</v>
      </c>
      <c r="V37" s="60"/>
      <c r="W37" s="26"/>
      <c r="X37" s="26"/>
      <c r="Y37" s="330"/>
      <c r="AB37" s="36"/>
      <c r="AC37" s="29"/>
      <c r="AD37" s="29"/>
      <c r="AE37" s="29"/>
      <c r="AF37" s="29"/>
      <c r="AH37" s="29"/>
    </row>
    <row r="38" spans="3:36" x14ac:dyDescent="0.2">
      <c r="Y38" s="330"/>
      <c r="AC38" s="26"/>
    </row>
    <row r="39" spans="3:36" x14ac:dyDescent="0.2">
      <c r="Y39" s="330"/>
      <c r="AC39" s="54"/>
    </row>
    <row r="40" spans="3:36" hidden="1" x14ac:dyDescent="0.2"/>
    <row r="41" spans="3:36" hidden="1" x14ac:dyDescent="0.2">
      <c r="AF41" s="34">
        <v>0.03</v>
      </c>
      <c r="AH41" s="34">
        <v>0.02</v>
      </c>
      <c r="AJ41" s="10">
        <v>200000</v>
      </c>
    </row>
    <row r="42" spans="3:36" hidden="1" x14ac:dyDescent="0.2">
      <c r="AC42" s="9" t="s">
        <v>84</v>
      </c>
      <c r="AD42" s="29">
        <f>Y31</f>
        <v>12083224.800000001</v>
      </c>
      <c r="AE42" s="9" t="s">
        <v>85</v>
      </c>
      <c r="AF42" s="29">
        <f>AD42</f>
        <v>12083224.800000001</v>
      </c>
      <c r="AG42" s="9" t="s">
        <v>85</v>
      </c>
      <c r="AH42" s="29">
        <f>AF42</f>
        <v>12083224.800000001</v>
      </c>
      <c r="AI42" s="332" t="s">
        <v>85</v>
      </c>
      <c r="AJ42" s="333">
        <f>AH42</f>
        <v>12083224.800000001</v>
      </c>
    </row>
    <row r="43" spans="3:36" hidden="1" x14ac:dyDescent="0.2">
      <c r="AC43" s="9" t="s">
        <v>86</v>
      </c>
      <c r="AD43" s="30">
        <f>Z31</f>
        <v>1208322.4800000002</v>
      </c>
      <c r="AE43" s="9" t="s">
        <v>39</v>
      </c>
      <c r="AF43" s="30">
        <f>AF42*AF41</f>
        <v>362496.74400000001</v>
      </c>
      <c r="AG43" s="9" t="s">
        <v>39</v>
      </c>
      <c r="AH43" s="30">
        <f>AH42*AH41</f>
        <v>241664.49600000001</v>
      </c>
      <c r="AI43" s="332" t="s">
        <v>39</v>
      </c>
      <c r="AJ43" s="334">
        <v>200000</v>
      </c>
    </row>
    <row r="44" spans="3:36" hidden="1" x14ac:dyDescent="0.2">
      <c r="AC44" s="9" t="s">
        <v>49</v>
      </c>
      <c r="AD44" s="29">
        <f>AB31</f>
        <v>13291547.280000001</v>
      </c>
      <c r="AE44" s="9" t="s">
        <v>84</v>
      </c>
      <c r="AF44" s="30">
        <f>AF42-AF43</f>
        <v>11720728.056</v>
      </c>
      <c r="AG44" s="9" t="s">
        <v>84</v>
      </c>
      <c r="AH44" s="30">
        <f>AH42-AH43</f>
        <v>11841560.304000001</v>
      </c>
      <c r="AI44" s="332" t="s">
        <v>84</v>
      </c>
      <c r="AJ44" s="334">
        <f>AJ42-AJ43</f>
        <v>11883224.800000001</v>
      </c>
    </row>
    <row r="45" spans="3:36" hidden="1" x14ac:dyDescent="0.2">
      <c r="AE45" s="9" t="s">
        <v>86</v>
      </c>
      <c r="AF45" s="30">
        <f>AF44*10%</f>
        <v>1172072.8056000001</v>
      </c>
      <c r="AG45" s="9" t="s">
        <v>86</v>
      </c>
      <c r="AH45" s="30">
        <f>AH44*10%</f>
        <v>1184156.0304000003</v>
      </c>
      <c r="AI45" s="332" t="s">
        <v>86</v>
      </c>
      <c r="AJ45" s="334">
        <f>AJ44*10%</f>
        <v>1188322.4800000002</v>
      </c>
    </row>
    <row r="46" spans="3:36" hidden="1" x14ac:dyDescent="0.2">
      <c r="AE46" s="9" t="s">
        <v>49</v>
      </c>
      <c r="AF46" s="30">
        <f>SUM(AF44:AF45)</f>
        <v>12892800.8616</v>
      </c>
      <c r="AG46" s="9" t="s">
        <v>49</v>
      </c>
      <c r="AH46" s="30">
        <f>SUM(AH44:AH45)</f>
        <v>13025716.334400002</v>
      </c>
      <c r="AI46" s="332" t="s">
        <v>49</v>
      </c>
      <c r="AJ46" s="334">
        <f>SUM(AJ44:AJ45)</f>
        <v>13071547.280000001</v>
      </c>
    </row>
    <row r="47" spans="3:36" hidden="1" x14ac:dyDescent="0.2"/>
    <row r="48" spans="3:36" hidden="1" x14ac:dyDescent="0.2"/>
    <row r="49" hidden="1" x14ac:dyDescent="0.2"/>
  </sheetData>
  <sheetProtection algorithmName="SHA-512" hashValue="NIoOoUqRM5tHsYlySWzCu2Op8H73x9Z7aWwz6FbM5SDiqRCkulKfUY4ZERaiKycxX/9NFy3yYNDmbpuImZdBsQ==" saltValue="dzPmrBD2aWrkgTkUJT0anQ==" spinCount="100000" sheet="1" objects="1" scenarios="1"/>
  <mergeCells count="25">
    <mergeCell ref="AF24:AF25"/>
    <mergeCell ref="AG24:AG25"/>
    <mergeCell ref="AL24:AN24"/>
    <mergeCell ref="U24:U25"/>
    <mergeCell ref="W24:W25"/>
    <mergeCell ref="Y24:Y25"/>
    <mergeCell ref="AB24:AB25"/>
    <mergeCell ref="AD24:AD25"/>
    <mergeCell ref="AE24:AE25"/>
    <mergeCell ref="S24:S25"/>
    <mergeCell ref="B3:D3"/>
    <mergeCell ref="H23:X23"/>
    <mergeCell ref="B24:B25"/>
    <mergeCell ref="C24:C25"/>
    <mergeCell ref="D24:D25"/>
    <mergeCell ref="E24:E25"/>
    <mergeCell ref="F24:F25"/>
    <mergeCell ref="G24:G25"/>
    <mergeCell ref="H24:H25"/>
    <mergeCell ref="I24:I25"/>
    <mergeCell ref="L24:L25"/>
    <mergeCell ref="M24:M25"/>
    <mergeCell ref="N24:N25"/>
    <mergeCell ref="O24:O25"/>
    <mergeCell ref="Q24:Q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26768-9196-4D29-8844-BD1C3A67C0C5}">
  <sheetPr>
    <tabColor rgb="FF00B050"/>
  </sheetPr>
  <dimension ref="A1:AN49"/>
  <sheetViews>
    <sheetView topLeftCell="AO17" zoomScale="115" zoomScaleNormal="115" workbookViewId="0">
      <selection activeCell="AN17" sqref="A1:AN1048576"/>
    </sheetView>
  </sheetViews>
  <sheetFormatPr defaultColWidth="9.28515625" defaultRowHeight="12.75" x14ac:dyDescent="0.2"/>
  <cols>
    <col min="1" max="1" width="2.7109375" style="9" hidden="1" customWidth="1"/>
    <col min="2" max="2" width="5.7109375" style="8" hidden="1" customWidth="1"/>
    <col min="3" max="3" width="8.28515625" style="9" hidden="1" customWidth="1"/>
    <col min="4" max="4" width="8.5703125" style="9" hidden="1" customWidth="1"/>
    <col min="5" max="5" width="21.140625" style="9" hidden="1" customWidth="1"/>
    <col min="6" max="6" width="8.42578125" style="9" hidden="1" customWidth="1"/>
    <col min="7" max="7" width="8.5703125" style="9" hidden="1" customWidth="1"/>
    <col min="8" max="8" width="9.7109375" style="8" hidden="1" customWidth="1"/>
    <col min="9" max="9" width="13.5703125" style="8" hidden="1" customWidth="1"/>
    <col min="10" max="10" width="12.5703125" style="8" hidden="1" customWidth="1"/>
    <col min="11" max="11" width="11.5703125" style="8" hidden="1" customWidth="1"/>
    <col min="12" max="12" width="13.5703125" style="8" hidden="1" customWidth="1"/>
    <col min="13" max="13" width="16.42578125" style="8" hidden="1" customWidth="1"/>
    <col min="14" max="15" width="15.28515625" style="8" hidden="1" customWidth="1"/>
    <col min="16" max="16" width="11" style="8" hidden="1" customWidth="1"/>
    <col min="17" max="17" width="16.42578125" style="8" hidden="1" customWidth="1"/>
    <col min="18" max="18" width="11" style="8" hidden="1" customWidth="1"/>
    <col min="19" max="19" width="16.42578125" style="8" hidden="1" customWidth="1"/>
    <col min="20" max="20" width="13.140625" style="8" hidden="1" customWidth="1"/>
    <col min="21" max="21" width="16.42578125" style="8" hidden="1" customWidth="1"/>
    <col min="22" max="22" width="11" style="8" hidden="1" customWidth="1"/>
    <col min="23" max="24" width="16.42578125" style="8" hidden="1" customWidth="1"/>
    <col min="25" max="25" width="15.140625" style="9" hidden="1" customWidth="1"/>
    <col min="26" max="26" width="13.28515625" style="10" hidden="1" customWidth="1"/>
    <col min="27" max="27" width="11" style="9" hidden="1" customWidth="1"/>
    <col min="28" max="28" width="15.42578125" style="9" hidden="1" customWidth="1"/>
    <col min="29" max="29" width="15.5703125" style="9" hidden="1" customWidth="1"/>
    <col min="30" max="30" width="14.28515625" style="9" hidden="1" customWidth="1"/>
    <col min="31" max="31" width="12.7109375" style="9" hidden="1" customWidth="1"/>
    <col min="32" max="32" width="12.5703125" style="9" hidden="1" customWidth="1"/>
    <col min="33" max="33" width="11.42578125" style="9" hidden="1" customWidth="1"/>
    <col min="34" max="34" width="13.5703125" style="9" hidden="1" customWidth="1"/>
    <col min="35" max="35" width="15" style="9" hidden="1" customWidth="1"/>
    <col min="36" max="36" width="16.28515625" style="9" hidden="1" customWidth="1"/>
    <col min="37" max="37" width="12.42578125" style="9" hidden="1" customWidth="1"/>
    <col min="38" max="39" width="13.5703125" style="9" hidden="1" customWidth="1"/>
    <col min="40" max="40" width="11" style="9" hidden="1" customWidth="1"/>
    <col min="41" max="16384" width="9.28515625" style="9"/>
  </cols>
  <sheetData>
    <row r="1" spans="2:27" hidden="1" x14ac:dyDescent="0.2"/>
    <row r="2" spans="2:27" hidden="1" x14ac:dyDescent="0.2"/>
    <row r="3" spans="2:27" hidden="1" x14ac:dyDescent="0.2">
      <c r="B3" s="337"/>
      <c r="C3" s="337"/>
      <c r="D3" s="337"/>
    </row>
    <row r="4" spans="2:27" hidden="1" x14ac:dyDescent="0.2">
      <c r="B4" s="11"/>
      <c r="C4" s="12"/>
      <c r="D4" s="12"/>
    </row>
    <row r="5" spans="2:27" hidden="1" x14ac:dyDescent="0.2">
      <c r="B5" s="11"/>
      <c r="C5" s="12"/>
      <c r="D5" s="12"/>
    </row>
    <row r="6" spans="2:27" hidden="1" x14ac:dyDescent="0.2">
      <c r="B6" s="8" t="s">
        <v>0</v>
      </c>
      <c r="C6" s="8"/>
      <c r="D6" s="8"/>
      <c r="AA6" s="13" t="s">
        <v>1</v>
      </c>
    </row>
    <row r="7" spans="2:27" hidden="1" x14ac:dyDescent="0.2">
      <c r="B7" s="8" t="s">
        <v>2</v>
      </c>
      <c r="C7" s="14" t="s">
        <v>3</v>
      </c>
      <c r="D7" s="9" t="s">
        <v>4</v>
      </c>
    </row>
    <row r="8" spans="2:27" hidden="1" x14ac:dyDescent="0.2">
      <c r="B8" s="8" t="s">
        <v>5</v>
      </c>
      <c r="C8" s="15">
        <f>'[1]125.26 on 84.64sqm (San Diego)'!E8</f>
        <v>184.43</v>
      </c>
      <c r="D8" s="15">
        <f>'[1]125.26 on 84.64sqm (San Diego)'!L7</f>
        <v>37954.779591172803</v>
      </c>
    </row>
    <row r="9" spans="2:27" hidden="1" x14ac:dyDescent="0.2">
      <c r="B9" s="8" t="s">
        <v>6</v>
      </c>
      <c r="C9" s="8">
        <f>'[1]167.62 on 80sqm (San Esteban)'!E8</f>
        <v>136.96</v>
      </c>
      <c r="D9" s="15">
        <f>'[1]167.62 on 80sqm (San Esteban)'!R7</f>
        <v>43808.411214953267</v>
      </c>
      <c r="G9" s="16" t="s">
        <v>7</v>
      </c>
      <c r="H9" s="14"/>
      <c r="I9" s="14"/>
    </row>
    <row r="10" spans="2:27" hidden="1" x14ac:dyDescent="0.2">
      <c r="C10" s="15"/>
      <c r="D10" s="15"/>
      <c r="G10" s="17">
        <f>C8</f>
        <v>184.43</v>
      </c>
      <c r="H10" s="25"/>
      <c r="I10" s="25"/>
    </row>
    <row r="11" spans="2:27" hidden="1" x14ac:dyDescent="0.2">
      <c r="C11" s="8"/>
      <c r="D11" s="8"/>
      <c r="G11" s="17">
        <f>C9</f>
        <v>136.96</v>
      </c>
      <c r="H11" s="25"/>
      <c r="I11" s="25"/>
    </row>
    <row r="12" spans="2:27" hidden="1" x14ac:dyDescent="0.2">
      <c r="B12" s="8" t="s">
        <v>8</v>
      </c>
      <c r="C12" s="15"/>
      <c r="D12" s="8"/>
    </row>
    <row r="13" spans="2:27" hidden="1" x14ac:dyDescent="0.2">
      <c r="B13" s="8" t="s">
        <v>9</v>
      </c>
      <c r="C13" s="8"/>
      <c r="D13" s="8"/>
    </row>
    <row r="14" spans="2:27" hidden="1" x14ac:dyDescent="0.2">
      <c r="B14" s="8" t="s">
        <v>10</v>
      </c>
      <c r="C14" s="15"/>
      <c r="D14" s="8"/>
    </row>
    <row r="15" spans="2:27" hidden="1" x14ac:dyDescent="0.2">
      <c r="C15" s="15"/>
      <c r="D15" s="8"/>
    </row>
    <row r="16" spans="2:27" hidden="1" x14ac:dyDescent="0.2">
      <c r="C16" s="15"/>
      <c r="D16" s="8"/>
    </row>
    <row r="17" spans="2:40" x14ac:dyDescent="0.2">
      <c r="C17" s="15"/>
      <c r="D17" s="8"/>
    </row>
    <row r="18" spans="2:40" x14ac:dyDescent="0.2">
      <c r="C18" s="15"/>
      <c r="D18" s="8"/>
      <c r="E18" s="9" t="s">
        <v>11</v>
      </c>
    </row>
    <row r="19" spans="2:40" x14ac:dyDescent="0.2">
      <c r="C19" s="15"/>
      <c r="E19" s="9" t="s">
        <v>12</v>
      </c>
    </row>
    <row r="20" spans="2:40" x14ac:dyDescent="0.2">
      <c r="C20" s="15"/>
      <c r="E20" s="9" t="s">
        <v>87</v>
      </c>
    </row>
    <row r="21" spans="2:40" x14ac:dyDescent="0.2">
      <c r="C21" s="15"/>
      <c r="D21" s="8"/>
    </row>
    <row r="22" spans="2:40" x14ac:dyDescent="0.2">
      <c r="C22" s="15"/>
      <c r="D22" s="8"/>
      <c r="Q22" s="8" t="s">
        <v>15</v>
      </c>
      <c r="R22" s="27">
        <f>S27/G27</f>
        <v>52643.228716767444</v>
      </c>
    </row>
    <row r="23" spans="2:40" x14ac:dyDescent="0.2">
      <c r="B23" s="15"/>
      <c r="H23" s="338" t="s">
        <v>16</v>
      </c>
      <c r="I23" s="338"/>
      <c r="J23" s="338"/>
      <c r="K23" s="338"/>
      <c r="L23" s="338"/>
      <c r="M23" s="338"/>
      <c r="N23" s="338"/>
      <c r="O23" s="338"/>
      <c r="P23" s="338"/>
      <c r="Q23" s="338"/>
      <c r="R23" s="338"/>
      <c r="S23" s="338"/>
      <c r="T23" s="338"/>
      <c r="U23" s="338"/>
      <c r="V23" s="338"/>
      <c r="W23" s="338"/>
      <c r="X23" s="338"/>
      <c r="Y23" s="18"/>
      <c r="AI23" s="19">
        <v>9.5565207999999992E-3</v>
      </c>
    </row>
    <row r="24" spans="2:40" s="20" customFormat="1" ht="14.25" customHeight="1" x14ac:dyDescent="0.25">
      <c r="B24" s="339" t="s">
        <v>17</v>
      </c>
      <c r="C24" s="340" t="s">
        <v>18</v>
      </c>
      <c r="D24" s="339" t="s">
        <v>19</v>
      </c>
      <c r="E24" s="339" t="s">
        <v>20</v>
      </c>
      <c r="F24" s="340" t="s">
        <v>21</v>
      </c>
      <c r="G24" s="341" t="s">
        <v>22</v>
      </c>
      <c r="H24" s="343" t="s">
        <v>23</v>
      </c>
      <c r="I24" s="343" t="s">
        <v>24</v>
      </c>
      <c r="J24" s="56" t="s">
        <v>25</v>
      </c>
      <c r="K24" s="55" t="s">
        <v>26</v>
      </c>
      <c r="L24" s="345" t="s">
        <v>27</v>
      </c>
      <c r="M24" s="345" t="s">
        <v>28</v>
      </c>
      <c r="N24" s="345" t="s">
        <v>30</v>
      </c>
      <c r="O24" s="343" t="s">
        <v>77</v>
      </c>
      <c r="P24" s="57">
        <v>2.5000000000000001E-2</v>
      </c>
      <c r="Q24" s="348" t="s">
        <v>31</v>
      </c>
      <c r="R24" s="57">
        <v>0</v>
      </c>
      <c r="S24" s="348" t="s">
        <v>31</v>
      </c>
      <c r="T24" s="57">
        <v>0</v>
      </c>
      <c r="U24" s="348" t="s">
        <v>31</v>
      </c>
      <c r="V24" s="57">
        <v>0</v>
      </c>
      <c r="W24" s="348" t="s">
        <v>31</v>
      </c>
      <c r="X24" s="57">
        <v>0.15</v>
      </c>
      <c r="Y24" s="352" t="s">
        <v>31</v>
      </c>
      <c r="Z24" s="3">
        <v>0.1</v>
      </c>
      <c r="AA24" s="4">
        <v>0</v>
      </c>
      <c r="AB24" s="339" t="s">
        <v>32</v>
      </c>
      <c r="AC24" s="2">
        <v>0.2</v>
      </c>
      <c r="AD24" s="353" t="s">
        <v>33</v>
      </c>
      <c r="AE24" s="353" t="s">
        <v>34</v>
      </c>
      <c r="AF24" s="354" t="s">
        <v>78</v>
      </c>
      <c r="AG24" s="341" t="s">
        <v>46</v>
      </c>
      <c r="AH24" s="5">
        <f>100%-AC24</f>
        <v>0.8</v>
      </c>
      <c r="AI24" s="1" t="s">
        <v>35</v>
      </c>
      <c r="AL24" s="349" t="s">
        <v>36</v>
      </c>
      <c r="AM24" s="350"/>
      <c r="AN24" s="351"/>
    </row>
    <row r="25" spans="2:40" s="24" customFormat="1" ht="38.25" x14ac:dyDescent="0.2">
      <c r="B25" s="339"/>
      <c r="C25" s="340"/>
      <c r="D25" s="339"/>
      <c r="E25" s="339"/>
      <c r="F25" s="340"/>
      <c r="G25" s="342"/>
      <c r="H25" s="344"/>
      <c r="I25" s="344"/>
      <c r="J25" s="55">
        <v>350000</v>
      </c>
      <c r="K25" s="55">
        <v>150000</v>
      </c>
      <c r="L25" s="345"/>
      <c r="M25" s="345"/>
      <c r="N25" s="345"/>
      <c r="O25" s="344"/>
      <c r="P25" s="55" t="s">
        <v>37</v>
      </c>
      <c r="Q25" s="348"/>
      <c r="R25" s="55" t="s">
        <v>38</v>
      </c>
      <c r="S25" s="348"/>
      <c r="T25" s="56" t="s">
        <v>40</v>
      </c>
      <c r="U25" s="348"/>
      <c r="V25" s="55" t="s">
        <v>41</v>
      </c>
      <c r="W25" s="348"/>
      <c r="X25" s="56" t="s">
        <v>42</v>
      </c>
      <c r="Y25" s="352"/>
      <c r="Z25" s="6" t="s">
        <v>43</v>
      </c>
      <c r="AA25" s="1" t="s">
        <v>44</v>
      </c>
      <c r="AB25" s="339"/>
      <c r="AC25" s="1" t="s">
        <v>45</v>
      </c>
      <c r="AD25" s="353"/>
      <c r="AE25" s="353"/>
      <c r="AF25" s="355"/>
      <c r="AG25" s="342"/>
      <c r="AH25" s="1" t="s">
        <v>47</v>
      </c>
      <c r="AI25" s="7" t="s">
        <v>48</v>
      </c>
      <c r="AJ25" s="20"/>
      <c r="AK25" s="20"/>
      <c r="AL25" s="21" t="s">
        <v>49</v>
      </c>
      <c r="AM25" s="22" t="s">
        <v>50</v>
      </c>
      <c r="AN25" s="23" t="s">
        <v>51</v>
      </c>
    </row>
    <row r="26" spans="2:40" s="31" customFormat="1" x14ac:dyDescent="0.2">
      <c r="B26" s="61">
        <v>1</v>
      </c>
      <c r="C26" s="62" t="s">
        <v>52</v>
      </c>
      <c r="D26" s="62" t="s">
        <v>56</v>
      </c>
      <c r="E26" s="61" t="s">
        <v>54</v>
      </c>
      <c r="F26" s="63">
        <v>66</v>
      </c>
      <c r="G26" s="64">
        <v>208.38</v>
      </c>
      <c r="H26" s="64">
        <v>48000</v>
      </c>
      <c r="I26" s="64">
        <f>G26*H26</f>
        <v>10002240</v>
      </c>
      <c r="J26" s="61">
        <f>J25</f>
        <v>350000</v>
      </c>
      <c r="K26" s="61"/>
      <c r="L26" s="61">
        <f t="shared" ref="L26:L31" si="0">SUM(J26:K26)</f>
        <v>350000</v>
      </c>
      <c r="M26" s="61">
        <f>I26+J26+K26</f>
        <v>10352240</v>
      </c>
      <c r="N26" s="61">
        <f t="shared" ref="N26:N31" si="1">L26+M26</f>
        <v>10702240</v>
      </c>
      <c r="O26" s="61">
        <f>N26/F26</f>
        <v>162155.15151515152</v>
      </c>
      <c r="P26" s="61">
        <f t="shared" ref="P26:P31" si="2">N26*$P$24</f>
        <v>267556</v>
      </c>
      <c r="Q26" s="61">
        <f t="shared" ref="Q26:Q31" si="3">N26+P26</f>
        <v>10969796</v>
      </c>
      <c r="R26" s="61"/>
      <c r="S26" s="61">
        <f t="shared" ref="S26:S31" si="4">Q26+R26</f>
        <v>10969796</v>
      </c>
      <c r="T26" s="61"/>
      <c r="U26" s="61">
        <f t="shared" ref="U26:U31" si="5">S26+T26</f>
        <v>10969796</v>
      </c>
      <c r="V26" s="61">
        <f t="shared" ref="V26:V31" si="6">U26*$V$24</f>
        <v>0</v>
      </c>
      <c r="W26" s="61">
        <f t="shared" ref="W26:W31" si="7">U26+V26</f>
        <v>10969796</v>
      </c>
      <c r="X26" s="61">
        <f>W26*$X$24</f>
        <v>1645469.4</v>
      </c>
      <c r="Y26" s="331">
        <f>W26+X26</f>
        <v>12615265.4</v>
      </c>
      <c r="Z26" s="64">
        <f>Y26*$Z$24</f>
        <v>1261526.54</v>
      </c>
      <c r="AA26" s="61"/>
      <c r="AB26" s="61">
        <f>Y26+Z26</f>
        <v>13876791.940000001</v>
      </c>
      <c r="AC26" s="61">
        <f t="shared" ref="AC26:AC31" si="8">AB26*$AC$24</f>
        <v>2775358.3880000003</v>
      </c>
      <c r="AD26" s="61">
        <v>50000</v>
      </c>
      <c r="AE26" s="61">
        <f t="shared" ref="AE26:AE31" si="9">AC26-AD26</f>
        <v>2725358.3880000003</v>
      </c>
      <c r="AF26" s="61">
        <v>12</v>
      </c>
      <c r="AG26" s="61">
        <f>AE26/AF26</f>
        <v>227113.19900000002</v>
      </c>
      <c r="AH26" s="61">
        <f t="shared" ref="AH26:AH31" si="10">AB26*$AH$24</f>
        <v>11101433.552000001</v>
      </c>
      <c r="AI26" s="61">
        <f t="shared" ref="AI26:AI31" si="11">AH26*$AI$23</f>
        <v>106091.08064950588</v>
      </c>
      <c r="AJ26" s="329"/>
      <c r="AL26" s="61">
        <f>AB26</f>
        <v>13876791.940000001</v>
      </c>
      <c r="AM26" s="61">
        <f>AH26+(AG26*AF26)+AD26</f>
        <v>13876791.940000001</v>
      </c>
      <c r="AN26" s="61">
        <f>AM26-AL26</f>
        <v>0</v>
      </c>
    </row>
    <row r="27" spans="2:40" s="31" customFormat="1" hidden="1" x14ac:dyDescent="0.2">
      <c r="B27" s="61">
        <f>B26+1</f>
        <v>2</v>
      </c>
      <c r="C27" s="62" t="s">
        <v>55</v>
      </c>
      <c r="D27" s="62" t="s">
        <v>53</v>
      </c>
      <c r="E27" s="61" t="s">
        <v>54</v>
      </c>
      <c r="F27" s="63">
        <v>66</v>
      </c>
      <c r="G27" s="64">
        <f>G26</f>
        <v>208.38</v>
      </c>
      <c r="H27" s="64">
        <v>48000</v>
      </c>
      <c r="I27" s="64">
        <f t="shared" ref="I27:I31" si="12">G27*H27</f>
        <v>10002240</v>
      </c>
      <c r="J27" s="61">
        <f>J25</f>
        <v>350000</v>
      </c>
      <c r="K27" s="61"/>
      <c r="L27" s="61">
        <f t="shared" si="0"/>
        <v>350000</v>
      </c>
      <c r="M27" s="61">
        <f t="shared" ref="M27:M31" si="13">I27+J27+K27</f>
        <v>10352240</v>
      </c>
      <c r="N27" s="61">
        <f t="shared" si="1"/>
        <v>10702240</v>
      </c>
      <c r="O27" s="61">
        <f t="shared" ref="O27:O31" si="14">N27/F27</f>
        <v>162155.15151515152</v>
      </c>
      <c r="P27" s="61">
        <f t="shared" si="2"/>
        <v>267556</v>
      </c>
      <c r="Q27" s="61">
        <f t="shared" si="3"/>
        <v>10969796</v>
      </c>
      <c r="R27" s="61">
        <f>Q27*$R$24</f>
        <v>0</v>
      </c>
      <c r="S27" s="61">
        <f t="shared" si="4"/>
        <v>10969796</v>
      </c>
      <c r="T27" s="61"/>
      <c r="U27" s="61">
        <f t="shared" si="5"/>
        <v>10969796</v>
      </c>
      <c r="V27" s="61">
        <f t="shared" si="6"/>
        <v>0</v>
      </c>
      <c r="W27" s="61">
        <f t="shared" si="7"/>
        <v>10969796</v>
      </c>
      <c r="X27" s="61">
        <f t="shared" ref="X27:X31" si="15">W27*$X$24</f>
        <v>1645469.4</v>
      </c>
      <c r="Y27" s="331">
        <f t="shared" ref="Y27:Y31" si="16">W27+X27</f>
        <v>12615265.4</v>
      </c>
      <c r="Z27" s="64">
        <f t="shared" ref="Z27:Z31" si="17">Y27*$Z$24</f>
        <v>1261526.54</v>
      </c>
      <c r="AA27" s="61"/>
      <c r="AB27" s="61">
        <f t="shared" ref="AB27:AB31" si="18">Y27+Z27</f>
        <v>13876791.940000001</v>
      </c>
      <c r="AC27" s="61">
        <f t="shared" si="8"/>
        <v>2775358.3880000003</v>
      </c>
      <c r="AD27" s="61">
        <f>'[2]Project Data'!$E$109</f>
        <v>50000</v>
      </c>
      <c r="AE27" s="61">
        <f t="shared" si="9"/>
        <v>2725358.3880000003</v>
      </c>
      <c r="AF27" s="61">
        <v>6</v>
      </c>
      <c r="AG27" s="61">
        <f t="shared" ref="AG27:AG31" si="19">AE27/AF27</f>
        <v>454226.39800000004</v>
      </c>
      <c r="AH27" s="61">
        <f t="shared" si="10"/>
        <v>11101433.552000001</v>
      </c>
      <c r="AI27" s="61">
        <f t="shared" si="11"/>
        <v>106091.08064950588</v>
      </c>
      <c r="AL27" s="61">
        <f t="shared" ref="AL27:AL31" si="20">AB27</f>
        <v>13876791.940000001</v>
      </c>
      <c r="AM27" s="61">
        <f t="shared" ref="AM27:AM31" si="21">AH27+(AG27*AF27)+AD27</f>
        <v>13876791.940000001</v>
      </c>
      <c r="AN27" s="61">
        <f t="shared" ref="AN27:AN31" si="22">AM27-AL27</f>
        <v>0</v>
      </c>
    </row>
    <row r="28" spans="2:40" s="31" customFormat="1" x14ac:dyDescent="0.2">
      <c r="B28" s="61">
        <f>B27+1</f>
        <v>3</v>
      </c>
      <c r="C28" s="62" t="s">
        <v>58</v>
      </c>
      <c r="D28" s="62" t="s">
        <v>56</v>
      </c>
      <c r="E28" s="61" t="s">
        <v>57</v>
      </c>
      <c r="F28" s="63">
        <v>52</v>
      </c>
      <c r="G28" s="64">
        <v>197</v>
      </c>
      <c r="H28" s="64">
        <v>48000</v>
      </c>
      <c r="I28" s="64">
        <f t="shared" si="12"/>
        <v>9456000</v>
      </c>
      <c r="J28" s="61"/>
      <c r="K28" s="61"/>
      <c r="L28" s="61">
        <f t="shared" si="0"/>
        <v>0</v>
      </c>
      <c r="M28" s="61">
        <f t="shared" si="13"/>
        <v>9456000</v>
      </c>
      <c r="N28" s="61">
        <f t="shared" si="1"/>
        <v>9456000</v>
      </c>
      <c r="O28" s="61">
        <f t="shared" si="14"/>
        <v>181846.15384615384</v>
      </c>
      <c r="P28" s="61">
        <f t="shared" si="2"/>
        <v>236400</v>
      </c>
      <c r="Q28" s="61">
        <f t="shared" si="3"/>
        <v>9692400</v>
      </c>
      <c r="R28" s="61">
        <f>Q28*$R$24</f>
        <v>0</v>
      </c>
      <c r="S28" s="61">
        <f t="shared" si="4"/>
        <v>9692400</v>
      </c>
      <c r="T28" s="61"/>
      <c r="U28" s="61">
        <f t="shared" si="5"/>
        <v>9692400</v>
      </c>
      <c r="V28" s="61">
        <f t="shared" si="6"/>
        <v>0</v>
      </c>
      <c r="W28" s="61">
        <f t="shared" si="7"/>
        <v>9692400</v>
      </c>
      <c r="X28" s="61">
        <f t="shared" si="15"/>
        <v>1453860</v>
      </c>
      <c r="Y28" s="331">
        <f t="shared" si="16"/>
        <v>11146260</v>
      </c>
      <c r="Z28" s="64">
        <f t="shared" si="17"/>
        <v>1114626</v>
      </c>
      <c r="AA28" s="61"/>
      <c r="AB28" s="61">
        <f t="shared" si="18"/>
        <v>12260886</v>
      </c>
      <c r="AC28" s="61">
        <f t="shared" si="8"/>
        <v>2452177.2000000002</v>
      </c>
      <c r="AD28" s="61">
        <f>'[2]Project Data'!$E$109</f>
        <v>50000</v>
      </c>
      <c r="AE28" s="61">
        <f t="shared" si="9"/>
        <v>2402177.2000000002</v>
      </c>
      <c r="AF28" s="61">
        <v>12</v>
      </c>
      <c r="AG28" s="61">
        <f t="shared" si="19"/>
        <v>200181.43333333335</v>
      </c>
      <c r="AH28" s="61">
        <f t="shared" si="10"/>
        <v>9808708.8000000007</v>
      </c>
      <c r="AI28" s="61">
        <f t="shared" si="11"/>
        <v>93737.129668343041</v>
      </c>
      <c r="AL28" s="61">
        <f t="shared" si="20"/>
        <v>12260886</v>
      </c>
      <c r="AM28" s="61">
        <f t="shared" si="21"/>
        <v>12260886</v>
      </c>
      <c r="AN28" s="61">
        <f t="shared" si="22"/>
        <v>0</v>
      </c>
    </row>
    <row r="29" spans="2:40" s="31" customFormat="1" x14ac:dyDescent="0.2">
      <c r="B29" s="61">
        <f>B28+1</f>
        <v>4</v>
      </c>
      <c r="C29" s="62" t="s">
        <v>60</v>
      </c>
      <c r="D29" s="62" t="s">
        <v>56</v>
      </c>
      <c r="E29" s="61" t="s">
        <v>57</v>
      </c>
      <c r="F29" s="63">
        <v>52</v>
      </c>
      <c r="G29" s="64">
        <f>G28</f>
        <v>197</v>
      </c>
      <c r="H29" s="64">
        <v>48000</v>
      </c>
      <c r="I29" s="64">
        <f t="shared" si="12"/>
        <v>9456000</v>
      </c>
      <c r="J29" s="61"/>
      <c r="K29" s="61"/>
      <c r="L29" s="61">
        <f t="shared" si="0"/>
        <v>0</v>
      </c>
      <c r="M29" s="61">
        <f t="shared" si="13"/>
        <v>9456000</v>
      </c>
      <c r="N29" s="61">
        <f t="shared" si="1"/>
        <v>9456000</v>
      </c>
      <c r="O29" s="61">
        <f t="shared" si="14"/>
        <v>181846.15384615384</v>
      </c>
      <c r="P29" s="61">
        <f t="shared" si="2"/>
        <v>236400</v>
      </c>
      <c r="Q29" s="61">
        <f t="shared" si="3"/>
        <v>9692400</v>
      </c>
      <c r="R29" s="61">
        <f>Q29*$R$24</f>
        <v>0</v>
      </c>
      <c r="S29" s="61">
        <f t="shared" si="4"/>
        <v>9692400</v>
      </c>
      <c r="T29" s="61"/>
      <c r="U29" s="61">
        <f t="shared" si="5"/>
        <v>9692400</v>
      </c>
      <c r="V29" s="61">
        <f t="shared" si="6"/>
        <v>0</v>
      </c>
      <c r="W29" s="61">
        <f t="shared" si="7"/>
        <v>9692400</v>
      </c>
      <c r="X29" s="61">
        <f t="shared" si="15"/>
        <v>1453860</v>
      </c>
      <c r="Y29" s="331">
        <f t="shared" si="16"/>
        <v>11146260</v>
      </c>
      <c r="Z29" s="64">
        <f t="shared" si="17"/>
        <v>1114626</v>
      </c>
      <c r="AA29" s="61"/>
      <c r="AB29" s="61">
        <f t="shared" si="18"/>
        <v>12260886</v>
      </c>
      <c r="AC29" s="61">
        <f t="shared" si="8"/>
        <v>2452177.2000000002</v>
      </c>
      <c r="AD29" s="61">
        <f>'[2]Project Data'!$E$109</f>
        <v>50000</v>
      </c>
      <c r="AE29" s="61">
        <f t="shared" si="9"/>
        <v>2402177.2000000002</v>
      </c>
      <c r="AF29" s="61">
        <v>6</v>
      </c>
      <c r="AG29" s="61">
        <f t="shared" si="19"/>
        <v>400362.8666666667</v>
      </c>
      <c r="AH29" s="61">
        <f t="shared" si="10"/>
        <v>9808708.8000000007</v>
      </c>
      <c r="AI29" s="61">
        <f t="shared" si="11"/>
        <v>93737.129668343041</v>
      </c>
      <c r="AL29" s="61">
        <f t="shared" si="20"/>
        <v>12260886</v>
      </c>
      <c r="AM29" s="61">
        <f t="shared" si="21"/>
        <v>12260886</v>
      </c>
      <c r="AN29" s="61">
        <f t="shared" si="22"/>
        <v>0</v>
      </c>
    </row>
    <row r="30" spans="2:40" s="31" customFormat="1" x14ac:dyDescent="0.2">
      <c r="B30" s="61">
        <f>B29+1</f>
        <v>5</v>
      </c>
      <c r="C30" s="62" t="s">
        <v>61</v>
      </c>
      <c r="D30" s="62" t="s">
        <v>56</v>
      </c>
      <c r="E30" s="61" t="s">
        <v>83</v>
      </c>
      <c r="F30" s="63">
        <v>56</v>
      </c>
      <c r="G30" s="64">
        <v>213.56</v>
      </c>
      <c r="H30" s="64">
        <v>48000</v>
      </c>
      <c r="I30" s="64">
        <f>G30*H30</f>
        <v>10250880</v>
      </c>
      <c r="J30" s="61"/>
      <c r="K30" s="61"/>
      <c r="L30" s="61">
        <f t="shared" si="0"/>
        <v>0</v>
      </c>
      <c r="M30" s="61">
        <f t="shared" si="13"/>
        <v>10250880</v>
      </c>
      <c r="N30" s="61">
        <f t="shared" si="1"/>
        <v>10250880</v>
      </c>
      <c r="O30" s="61">
        <f t="shared" si="14"/>
        <v>183051.42857142858</v>
      </c>
      <c r="P30" s="61">
        <f t="shared" si="2"/>
        <v>256272</v>
      </c>
      <c r="Q30" s="61">
        <f t="shared" si="3"/>
        <v>10507152</v>
      </c>
      <c r="R30" s="61">
        <f>Q30*$R$24</f>
        <v>0</v>
      </c>
      <c r="S30" s="61">
        <f t="shared" si="4"/>
        <v>10507152</v>
      </c>
      <c r="T30" s="61"/>
      <c r="U30" s="61">
        <f t="shared" si="5"/>
        <v>10507152</v>
      </c>
      <c r="V30" s="61">
        <f t="shared" si="6"/>
        <v>0</v>
      </c>
      <c r="W30" s="61">
        <f t="shared" si="7"/>
        <v>10507152</v>
      </c>
      <c r="X30" s="61">
        <f t="shared" si="15"/>
        <v>1576072.8</v>
      </c>
      <c r="Y30" s="331">
        <f t="shared" si="16"/>
        <v>12083224.800000001</v>
      </c>
      <c r="Z30" s="64">
        <f t="shared" si="17"/>
        <v>1208322.4800000002</v>
      </c>
      <c r="AA30" s="61"/>
      <c r="AB30" s="61">
        <f t="shared" si="18"/>
        <v>13291547.280000001</v>
      </c>
      <c r="AC30" s="61">
        <f t="shared" si="8"/>
        <v>2658309.4560000002</v>
      </c>
      <c r="AD30" s="61">
        <f>'[2]Project Data'!$E$109</f>
        <v>50000</v>
      </c>
      <c r="AE30" s="61">
        <f t="shared" si="9"/>
        <v>2608309.4560000002</v>
      </c>
      <c r="AF30" s="61">
        <v>12</v>
      </c>
      <c r="AG30" s="61">
        <f t="shared" si="19"/>
        <v>217359.12133333334</v>
      </c>
      <c r="AH30" s="61">
        <f t="shared" si="10"/>
        <v>10633237.824000001</v>
      </c>
      <c r="AI30" s="61">
        <f t="shared" si="11"/>
        <v>101616.75843640274</v>
      </c>
      <c r="AL30" s="61">
        <f t="shared" si="20"/>
        <v>13291547.280000001</v>
      </c>
      <c r="AM30" s="61">
        <f t="shared" si="21"/>
        <v>13291547.280000001</v>
      </c>
      <c r="AN30" s="61">
        <f t="shared" si="22"/>
        <v>0</v>
      </c>
    </row>
    <row r="31" spans="2:40" s="31" customFormat="1" x14ac:dyDescent="0.2">
      <c r="B31" s="61">
        <f>B30+1</f>
        <v>6</v>
      </c>
      <c r="C31" s="62" t="s">
        <v>62</v>
      </c>
      <c r="D31" s="62" t="s">
        <v>56</v>
      </c>
      <c r="E31" s="61" t="s">
        <v>83</v>
      </c>
      <c r="F31" s="63">
        <v>56</v>
      </c>
      <c r="G31" s="64">
        <f>G30</f>
        <v>213.56</v>
      </c>
      <c r="H31" s="64">
        <v>48000</v>
      </c>
      <c r="I31" s="64">
        <f t="shared" si="12"/>
        <v>10250880</v>
      </c>
      <c r="J31" s="61"/>
      <c r="K31" s="61"/>
      <c r="L31" s="61">
        <f t="shared" si="0"/>
        <v>0</v>
      </c>
      <c r="M31" s="61">
        <f t="shared" si="13"/>
        <v>10250880</v>
      </c>
      <c r="N31" s="61">
        <f t="shared" si="1"/>
        <v>10250880</v>
      </c>
      <c r="O31" s="61">
        <f t="shared" si="14"/>
        <v>183051.42857142858</v>
      </c>
      <c r="P31" s="61">
        <f t="shared" si="2"/>
        <v>256272</v>
      </c>
      <c r="Q31" s="61">
        <f t="shared" si="3"/>
        <v>10507152</v>
      </c>
      <c r="R31" s="61">
        <f>Q31*$R$24</f>
        <v>0</v>
      </c>
      <c r="S31" s="61">
        <f t="shared" si="4"/>
        <v>10507152</v>
      </c>
      <c r="T31" s="61"/>
      <c r="U31" s="61">
        <f t="shared" si="5"/>
        <v>10507152</v>
      </c>
      <c r="V31" s="61">
        <f t="shared" si="6"/>
        <v>0</v>
      </c>
      <c r="W31" s="61">
        <f t="shared" si="7"/>
        <v>10507152</v>
      </c>
      <c r="X31" s="61">
        <f t="shared" si="15"/>
        <v>1576072.8</v>
      </c>
      <c r="Y31" s="331">
        <f t="shared" si="16"/>
        <v>12083224.800000001</v>
      </c>
      <c r="Z31" s="64">
        <f t="shared" si="17"/>
        <v>1208322.4800000002</v>
      </c>
      <c r="AA31" s="61"/>
      <c r="AB31" s="61">
        <f t="shared" si="18"/>
        <v>13291547.280000001</v>
      </c>
      <c r="AC31" s="61">
        <f t="shared" si="8"/>
        <v>2658309.4560000002</v>
      </c>
      <c r="AD31" s="61">
        <f>'[2]Project Data'!$E$109</f>
        <v>50000</v>
      </c>
      <c r="AE31" s="61">
        <f t="shared" si="9"/>
        <v>2608309.4560000002</v>
      </c>
      <c r="AF31" s="61">
        <v>6</v>
      </c>
      <c r="AG31" s="61">
        <f t="shared" si="19"/>
        <v>434718.24266666669</v>
      </c>
      <c r="AH31" s="61">
        <f t="shared" si="10"/>
        <v>10633237.824000001</v>
      </c>
      <c r="AI31" s="61">
        <f t="shared" si="11"/>
        <v>101616.75843640274</v>
      </c>
      <c r="AL31" s="61">
        <f t="shared" si="20"/>
        <v>13291547.280000001</v>
      </c>
      <c r="AM31" s="61">
        <f t="shared" si="21"/>
        <v>13291547.280000001</v>
      </c>
      <c r="AN31" s="61">
        <f t="shared" si="22"/>
        <v>0</v>
      </c>
    </row>
    <row r="32" spans="2:40" s="65" customFormat="1" x14ac:dyDescent="0.2">
      <c r="I32" s="66"/>
      <c r="J32" s="67"/>
      <c r="L32" s="68"/>
      <c r="Z32" s="66"/>
    </row>
    <row r="33" spans="3:36" s="65" customFormat="1" x14ac:dyDescent="0.2">
      <c r="C33" s="69" t="s">
        <v>63</v>
      </c>
      <c r="M33" s="70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>
        <f>Y26*3%</f>
        <v>378457.962</v>
      </c>
      <c r="Z33" s="66"/>
      <c r="AI33" s="68"/>
    </row>
    <row r="34" spans="3:36" x14ac:dyDescent="0.2">
      <c r="C34" s="31" t="s">
        <v>64</v>
      </c>
      <c r="M34" s="27"/>
      <c r="N34" s="59"/>
      <c r="O34" s="59"/>
      <c r="Q34" s="59"/>
      <c r="Y34" s="330"/>
      <c r="AB34" s="32"/>
      <c r="AC34" s="33"/>
    </row>
    <row r="35" spans="3:36" x14ac:dyDescent="0.2">
      <c r="C35" s="31" t="s">
        <v>65</v>
      </c>
      <c r="W35" s="26"/>
      <c r="X35" s="26"/>
      <c r="Y35" s="330"/>
    </row>
    <row r="36" spans="3:36" x14ac:dyDescent="0.2">
      <c r="C36" s="31" t="s">
        <v>66</v>
      </c>
      <c r="V36" s="60"/>
      <c r="W36" s="26"/>
      <c r="X36" s="26"/>
      <c r="Y36" s="330"/>
      <c r="AB36" s="16"/>
      <c r="AC36" s="35"/>
      <c r="AE36" s="30"/>
      <c r="AF36" s="30"/>
      <c r="AG36" s="30"/>
    </row>
    <row r="37" spans="3:36" x14ac:dyDescent="0.2">
      <c r="C37" s="31" t="s">
        <v>67</v>
      </c>
      <c r="V37" s="60"/>
      <c r="W37" s="26"/>
      <c r="X37" s="26"/>
      <c r="Y37" s="330"/>
      <c r="AB37" s="36"/>
      <c r="AC37" s="29"/>
      <c r="AD37" s="29"/>
      <c r="AE37" s="29"/>
      <c r="AF37" s="29"/>
      <c r="AH37" s="29"/>
    </row>
    <row r="38" spans="3:36" x14ac:dyDescent="0.2">
      <c r="Y38" s="330"/>
      <c r="AC38" s="26"/>
    </row>
    <row r="39" spans="3:36" x14ac:dyDescent="0.2">
      <c r="Y39" s="330"/>
      <c r="AC39" s="54"/>
    </row>
    <row r="40" spans="3:36" hidden="1" x14ac:dyDescent="0.2"/>
    <row r="41" spans="3:36" hidden="1" x14ac:dyDescent="0.2">
      <c r="AF41" s="34">
        <v>0.03</v>
      </c>
      <c r="AH41" s="34">
        <v>0.02</v>
      </c>
      <c r="AJ41" s="10">
        <v>200000</v>
      </c>
    </row>
    <row r="42" spans="3:36" hidden="1" x14ac:dyDescent="0.2">
      <c r="AC42" s="9" t="s">
        <v>84</v>
      </c>
      <c r="AD42" s="29">
        <f>Y31</f>
        <v>12083224.800000001</v>
      </c>
      <c r="AE42" s="9" t="s">
        <v>85</v>
      </c>
      <c r="AF42" s="29">
        <f>AD42</f>
        <v>12083224.800000001</v>
      </c>
      <c r="AG42" s="9" t="s">
        <v>85</v>
      </c>
      <c r="AH42" s="29">
        <f>AF42</f>
        <v>12083224.800000001</v>
      </c>
      <c r="AI42" s="332" t="s">
        <v>85</v>
      </c>
      <c r="AJ42" s="333">
        <f>AH42</f>
        <v>12083224.800000001</v>
      </c>
    </row>
    <row r="43" spans="3:36" hidden="1" x14ac:dyDescent="0.2">
      <c r="AC43" s="9" t="s">
        <v>86</v>
      </c>
      <c r="AD43" s="30">
        <f>Z31</f>
        <v>1208322.4800000002</v>
      </c>
      <c r="AE43" s="9" t="s">
        <v>39</v>
      </c>
      <c r="AF43" s="30">
        <f>AF42*AF41</f>
        <v>362496.74400000001</v>
      </c>
      <c r="AG43" s="9" t="s">
        <v>39</v>
      </c>
      <c r="AH43" s="30">
        <f>AH42*AH41</f>
        <v>241664.49600000001</v>
      </c>
      <c r="AI43" s="332" t="s">
        <v>39</v>
      </c>
      <c r="AJ43" s="334">
        <v>200000</v>
      </c>
    </row>
    <row r="44" spans="3:36" hidden="1" x14ac:dyDescent="0.2">
      <c r="AC44" s="9" t="s">
        <v>49</v>
      </c>
      <c r="AD44" s="29">
        <f>AB31</f>
        <v>13291547.280000001</v>
      </c>
      <c r="AE44" s="9" t="s">
        <v>84</v>
      </c>
      <c r="AF44" s="30">
        <f>AF42-AF43</f>
        <v>11720728.056</v>
      </c>
      <c r="AG44" s="9" t="s">
        <v>84</v>
      </c>
      <c r="AH44" s="30">
        <f>AH42-AH43</f>
        <v>11841560.304000001</v>
      </c>
      <c r="AI44" s="332" t="s">
        <v>84</v>
      </c>
      <c r="AJ44" s="334">
        <f>AJ42-AJ43</f>
        <v>11883224.800000001</v>
      </c>
    </row>
    <row r="45" spans="3:36" hidden="1" x14ac:dyDescent="0.2">
      <c r="AE45" s="9" t="s">
        <v>86</v>
      </c>
      <c r="AF45" s="30">
        <f>AF44*10%</f>
        <v>1172072.8056000001</v>
      </c>
      <c r="AG45" s="9" t="s">
        <v>86</v>
      </c>
      <c r="AH45" s="30">
        <f>AH44*10%</f>
        <v>1184156.0304000003</v>
      </c>
      <c r="AI45" s="332" t="s">
        <v>86</v>
      </c>
      <c r="AJ45" s="334">
        <f>AJ44*10%</f>
        <v>1188322.4800000002</v>
      </c>
    </row>
    <row r="46" spans="3:36" hidden="1" x14ac:dyDescent="0.2">
      <c r="AE46" s="9" t="s">
        <v>49</v>
      </c>
      <c r="AF46" s="30">
        <f>SUM(AF44:AF45)</f>
        <v>12892800.8616</v>
      </c>
      <c r="AG46" s="9" t="s">
        <v>49</v>
      </c>
      <c r="AH46" s="30">
        <f>SUM(AH44:AH45)</f>
        <v>13025716.334400002</v>
      </c>
      <c r="AI46" s="332" t="s">
        <v>49</v>
      </c>
      <c r="AJ46" s="334">
        <f>SUM(AJ44:AJ45)</f>
        <v>13071547.280000001</v>
      </c>
    </row>
    <row r="47" spans="3:36" hidden="1" x14ac:dyDescent="0.2"/>
    <row r="48" spans="3:36" hidden="1" x14ac:dyDescent="0.2"/>
    <row r="49" hidden="1" x14ac:dyDescent="0.2"/>
  </sheetData>
  <sheetProtection algorithmName="SHA-512" hashValue="i8xFlgHM464z5pRss/MiT6q1i2+Qt7L3lFP5D1PS5oCjHZUjjrYOYfuOiYo1s7AFe4zVdnx0wfsYcCrhQ8OlpQ==" saltValue="QCb7UpO2/zrLsEUkloHBbg==" spinCount="100000" sheet="1" objects="1" scenarios="1"/>
  <mergeCells count="25">
    <mergeCell ref="AL24:AN24"/>
    <mergeCell ref="U24:U25"/>
    <mergeCell ref="W24:W25"/>
    <mergeCell ref="Y24:Y25"/>
    <mergeCell ref="AB24:AB25"/>
    <mergeCell ref="AD24:AD25"/>
    <mergeCell ref="AE24:AE25"/>
    <mergeCell ref="AF24:AF25"/>
    <mergeCell ref="AG24:AG25"/>
    <mergeCell ref="S24:S25"/>
    <mergeCell ref="B3:D3"/>
    <mergeCell ref="H23:X23"/>
    <mergeCell ref="B24:B25"/>
    <mergeCell ref="C24:C25"/>
    <mergeCell ref="D24:D25"/>
    <mergeCell ref="E24:E25"/>
    <mergeCell ref="F24:F25"/>
    <mergeCell ref="G24:G25"/>
    <mergeCell ref="H24:H25"/>
    <mergeCell ref="I24:I25"/>
    <mergeCell ref="O24:O25"/>
    <mergeCell ref="L24:L25"/>
    <mergeCell ref="M24:M25"/>
    <mergeCell ref="N24:N25"/>
    <mergeCell ref="Q24:Q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6AEEB-D87F-43BB-9E3D-00E52CD55F14}">
  <dimension ref="A1"/>
  <sheetViews>
    <sheetView topLeftCell="A22" workbookViewId="0">
      <selection activeCell="N11" sqref="N11"/>
    </sheetView>
  </sheetViews>
  <sheetFormatPr defaultColWidth="8.85546875" defaultRowHeight="15" x14ac:dyDescent="0.25"/>
  <cols>
    <col min="1" max="16384" width="8.85546875" style="96"/>
  </cols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522E3-689E-44B9-96DB-BB694D30F33B}">
  <sheetPr>
    <tabColor rgb="FFFFFF00"/>
  </sheetPr>
  <dimension ref="B1:V72"/>
  <sheetViews>
    <sheetView topLeftCell="A17" zoomScale="90" zoomScaleNormal="90" workbookViewId="0">
      <selection activeCell="M29" sqref="M29"/>
    </sheetView>
  </sheetViews>
  <sheetFormatPr defaultColWidth="9.28515625" defaultRowHeight="12.75" x14ac:dyDescent="0.2"/>
  <cols>
    <col min="1" max="1" width="2.7109375" style="9" customWidth="1"/>
    <col min="2" max="2" width="7.7109375" style="8" customWidth="1"/>
    <col min="3" max="3" width="8.28515625" style="9" customWidth="1"/>
    <col min="4" max="4" width="8.5703125" style="9" hidden="1" customWidth="1"/>
    <col min="5" max="5" width="24.7109375" style="9" customWidth="1"/>
    <col min="6" max="6" width="8.42578125" style="9" customWidth="1"/>
    <col min="7" max="7" width="8.5703125" style="9" customWidth="1"/>
    <col min="8" max="8" width="14.28515625" style="9" customWidth="1"/>
    <col min="9" max="9" width="13.28515625" style="10" customWidth="1"/>
    <col min="10" max="10" width="14.28515625" style="9" customWidth="1"/>
    <col min="11" max="11" width="13.42578125" style="9" customWidth="1"/>
    <col min="12" max="12" width="12.140625" style="9" customWidth="1"/>
    <col min="13" max="14" width="12.7109375" style="9" customWidth="1"/>
    <col min="15" max="15" width="11.42578125" style="9" bestFit="1" customWidth="1"/>
    <col min="16" max="16" width="15.42578125" style="9" customWidth="1"/>
    <col min="17" max="17" width="13" style="9" customWidth="1"/>
    <col min="18" max="19" width="9.28515625" style="9"/>
    <col min="20" max="21" width="13.5703125" style="9" hidden="1" customWidth="1"/>
    <col min="22" max="22" width="11" style="9" hidden="1" customWidth="1"/>
    <col min="23" max="16384" width="9.28515625" style="9"/>
  </cols>
  <sheetData>
    <row r="1" spans="2:7" hidden="1" x14ac:dyDescent="0.2"/>
    <row r="2" spans="2:7" hidden="1" x14ac:dyDescent="0.2"/>
    <row r="3" spans="2:7" hidden="1" x14ac:dyDescent="0.2">
      <c r="B3" s="337"/>
      <c r="C3" s="337"/>
      <c r="D3" s="337"/>
    </row>
    <row r="4" spans="2:7" hidden="1" x14ac:dyDescent="0.2">
      <c r="B4" s="11"/>
      <c r="C4" s="12"/>
      <c r="D4" s="12"/>
    </row>
    <row r="5" spans="2:7" hidden="1" x14ac:dyDescent="0.2">
      <c r="B5" s="11"/>
      <c r="C5" s="12"/>
      <c r="D5" s="12"/>
    </row>
    <row r="6" spans="2:7" hidden="1" x14ac:dyDescent="0.2">
      <c r="B6" s="8" t="s">
        <v>0</v>
      </c>
      <c r="C6" s="8"/>
      <c r="D6" s="8"/>
    </row>
    <row r="7" spans="2:7" hidden="1" x14ac:dyDescent="0.2">
      <c r="B7" s="8" t="s">
        <v>2</v>
      </c>
      <c r="C7" s="14" t="s">
        <v>3</v>
      </c>
      <c r="D7" s="9" t="s">
        <v>4</v>
      </c>
    </row>
    <row r="8" spans="2:7" hidden="1" x14ac:dyDescent="0.2">
      <c r="B8" s="8" t="s">
        <v>5</v>
      </c>
      <c r="C8" s="15">
        <f>'[1]125.26 on 84.64sqm (San Diego)'!E8</f>
        <v>184.43</v>
      </c>
      <c r="D8" s="15">
        <f>'[1]125.26 on 84.64sqm (San Diego)'!L7</f>
        <v>37954.779591172803</v>
      </c>
    </row>
    <row r="9" spans="2:7" hidden="1" x14ac:dyDescent="0.2">
      <c r="B9" s="8" t="s">
        <v>6</v>
      </c>
      <c r="C9" s="8">
        <f>'[1]167.62 on 80sqm (San Esteban)'!E8</f>
        <v>136.96</v>
      </c>
      <c r="D9" s="15">
        <f>'[1]167.62 on 80sqm (San Esteban)'!R7</f>
        <v>43808.411214953267</v>
      </c>
      <c r="G9" s="16" t="s">
        <v>7</v>
      </c>
    </row>
    <row r="10" spans="2:7" hidden="1" x14ac:dyDescent="0.2">
      <c r="C10" s="15"/>
      <c r="D10" s="15"/>
      <c r="G10" s="17">
        <f>C8</f>
        <v>184.43</v>
      </c>
    </row>
    <row r="11" spans="2:7" hidden="1" x14ac:dyDescent="0.2">
      <c r="C11" s="8"/>
      <c r="D11" s="8"/>
      <c r="G11" s="17">
        <f>C9</f>
        <v>136.96</v>
      </c>
    </row>
    <row r="12" spans="2:7" hidden="1" x14ac:dyDescent="0.2">
      <c r="B12" s="8" t="s">
        <v>8</v>
      </c>
      <c r="C12" s="15"/>
      <c r="D12" s="8"/>
    </row>
    <row r="13" spans="2:7" hidden="1" x14ac:dyDescent="0.2">
      <c r="B13" s="8" t="s">
        <v>9</v>
      </c>
      <c r="C13" s="8"/>
      <c r="D13" s="8"/>
    </row>
    <row r="14" spans="2:7" hidden="1" x14ac:dyDescent="0.2">
      <c r="B14" s="8" t="s">
        <v>10</v>
      </c>
      <c r="C14" s="15"/>
      <c r="D14" s="8"/>
    </row>
    <row r="15" spans="2:7" hidden="1" x14ac:dyDescent="0.2">
      <c r="C15" s="15"/>
      <c r="D15" s="8"/>
    </row>
    <row r="16" spans="2:7" hidden="1" x14ac:dyDescent="0.2">
      <c r="C16" s="15"/>
      <c r="D16" s="8"/>
    </row>
    <row r="17" spans="2:22" x14ac:dyDescent="0.2">
      <c r="C17" s="15"/>
      <c r="D17" s="8"/>
    </row>
    <row r="18" spans="2:22" x14ac:dyDescent="0.2">
      <c r="C18" s="15"/>
      <c r="D18" s="8"/>
      <c r="E18" s="326" t="s">
        <v>11</v>
      </c>
    </row>
    <row r="19" spans="2:22" x14ac:dyDescent="0.2">
      <c r="C19" s="15"/>
      <c r="E19" s="326" t="s">
        <v>12</v>
      </c>
    </row>
    <row r="20" spans="2:22" x14ac:dyDescent="0.2">
      <c r="C20" s="15"/>
      <c r="E20" s="326" t="s">
        <v>88</v>
      </c>
    </row>
    <row r="21" spans="2:22" x14ac:dyDescent="0.2">
      <c r="C21" s="15"/>
      <c r="D21" s="8"/>
      <c r="E21" s="326"/>
    </row>
    <row r="22" spans="2:22" x14ac:dyDescent="0.2">
      <c r="C22" s="15"/>
      <c r="D22" s="8"/>
    </row>
    <row r="23" spans="2:22" ht="14.25" customHeight="1" x14ac:dyDescent="0.2">
      <c r="B23" s="15"/>
      <c r="H23" s="18"/>
      <c r="Q23" s="19">
        <v>9.5565207999999992E-3</v>
      </c>
    </row>
    <row r="24" spans="2:22" s="20" customFormat="1" ht="34.35" customHeight="1" x14ac:dyDescent="0.25">
      <c r="B24" s="339" t="s">
        <v>89</v>
      </c>
      <c r="C24" s="340" t="s">
        <v>18</v>
      </c>
      <c r="D24" s="339" t="s">
        <v>19</v>
      </c>
      <c r="E24" s="339" t="s">
        <v>90</v>
      </c>
      <c r="F24" s="340" t="s">
        <v>91</v>
      </c>
      <c r="G24" s="341" t="s">
        <v>92</v>
      </c>
      <c r="H24" s="352" t="s">
        <v>31</v>
      </c>
      <c r="I24" s="3">
        <v>0.1</v>
      </c>
      <c r="J24" s="339" t="s">
        <v>32</v>
      </c>
      <c r="K24" s="2">
        <v>0.2</v>
      </c>
      <c r="L24" s="353" t="s">
        <v>33</v>
      </c>
      <c r="M24" s="353" t="s">
        <v>34</v>
      </c>
      <c r="N24" s="354" t="s">
        <v>78</v>
      </c>
      <c r="O24" s="341" t="s">
        <v>46</v>
      </c>
      <c r="P24" s="5">
        <f>100%-K24</f>
        <v>0.8</v>
      </c>
      <c r="Q24" s="1" t="s">
        <v>35</v>
      </c>
      <c r="T24" s="356" t="s">
        <v>36</v>
      </c>
      <c r="U24" s="356"/>
      <c r="V24" s="356"/>
    </row>
    <row r="25" spans="2:22" s="24" customFormat="1" ht="38.25" x14ac:dyDescent="0.2">
      <c r="B25" s="339"/>
      <c r="C25" s="340"/>
      <c r="D25" s="339"/>
      <c r="E25" s="339"/>
      <c r="F25" s="340"/>
      <c r="G25" s="342"/>
      <c r="H25" s="352"/>
      <c r="I25" s="6" t="s">
        <v>93</v>
      </c>
      <c r="J25" s="339"/>
      <c r="K25" s="1" t="s">
        <v>45</v>
      </c>
      <c r="L25" s="353"/>
      <c r="M25" s="353"/>
      <c r="N25" s="355"/>
      <c r="O25" s="342"/>
      <c r="P25" s="1" t="s">
        <v>47</v>
      </c>
      <c r="Q25" s="7" t="s">
        <v>48</v>
      </c>
      <c r="R25" s="20"/>
      <c r="S25" s="20"/>
      <c r="T25" s="21" t="s">
        <v>49</v>
      </c>
      <c r="U25" s="22" t="s">
        <v>50</v>
      </c>
      <c r="V25" s="23" t="s">
        <v>51</v>
      </c>
    </row>
    <row r="26" spans="2:22" s="31" customFormat="1" x14ac:dyDescent="0.2">
      <c r="B26" s="61">
        <v>1</v>
      </c>
      <c r="C26" s="62" t="s">
        <v>52</v>
      </c>
      <c r="D26" s="62" t="str">
        <f>'internal pricelist 3FLRS Sep-25'!D26</f>
        <v>HOLD</v>
      </c>
      <c r="E26" s="61" t="s">
        <v>54</v>
      </c>
      <c r="F26" s="63">
        <f>'internal pricelist 3FLRS Sep-25'!F26</f>
        <v>66</v>
      </c>
      <c r="G26" s="63">
        <f>'internal pricelist 3FLRS Sep-25'!G26</f>
        <v>156.74</v>
      </c>
      <c r="H26" s="61">
        <f>'internal pricelist 3FLRS Sep-25'!Y26</f>
        <v>9561140</v>
      </c>
      <c r="I26" s="64">
        <f>H26*$I$24</f>
        <v>956114</v>
      </c>
      <c r="J26" s="61">
        <f>SUM(H26:I26)</f>
        <v>10517254</v>
      </c>
      <c r="K26" s="61">
        <f>J26*$K$24</f>
        <v>2103450.8000000003</v>
      </c>
      <c r="L26" s="61">
        <f>'Internal Pricelist'!AE26</f>
        <v>50000</v>
      </c>
      <c r="M26" s="61">
        <f t="shared" ref="M26" si="0">K26-L26</f>
        <v>2053450.8000000003</v>
      </c>
      <c r="N26" s="61">
        <v>12</v>
      </c>
      <c r="O26" s="61">
        <f>M26/N26</f>
        <v>171120.90000000002</v>
      </c>
      <c r="P26" s="61">
        <f>J26*$P$24</f>
        <v>8413803.2000000011</v>
      </c>
      <c r="Q26" s="61">
        <f t="shared" ref="Q26" si="1">P26*$Q$23</f>
        <v>80406.68528790657</v>
      </c>
      <c r="T26" s="61"/>
      <c r="U26" s="61"/>
      <c r="V26" s="61"/>
    </row>
    <row r="27" spans="2:22" s="31" customFormat="1" hidden="1" x14ac:dyDescent="0.2">
      <c r="B27" s="61">
        <f>B26+1</f>
        <v>2</v>
      </c>
      <c r="C27" s="62" t="s">
        <v>55</v>
      </c>
      <c r="D27" s="336" t="str">
        <f>'internal pricelist 3FLRS Sep-25'!D27</f>
        <v>SOLD</v>
      </c>
      <c r="E27" s="61" t="s">
        <v>54</v>
      </c>
      <c r="F27" s="63">
        <f>'internal pricelist 3FLRS Sep-25'!F27</f>
        <v>66</v>
      </c>
      <c r="G27" s="63">
        <f>'internal pricelist 3FLRS Sep-25'!G27</f>
        <v>156.74</v>
      </c>
      <c r="H27" s="61">
        <f>'internal pricelist 3FLRS Sep-25'!Y27</f>
        <v>9693474.1999999993</v>
      </c>
      <c r="I27" s="64">
        <f t="shared" ref="I27:I31" si="2">H27*$I$24</f>
        <v>969347.41999999993</v>
      </c>
      <c r="J27" s="61">
        <f t="shared" ref="J27:J31" si="3">SUM(H27:I27)</f>
        <v>10662821.619999999</v>
      </c>
      <c r="K27" s="61">
        <f>J27*$K$24</f>
        <v>2132564.324</v>
      </c>
      <c r="L27" s="61">
        <f>'Internal Pricelist'!AE27</f>
        <v>50000</v>
      </c>
      <c r="M27" s="61">
        <f t="shared" ref="M27:M31" si="4">K27-L27</f>
        <v>2082564.324</v>
      </c>
      <c r="N27" s="61">
        <v>6</v>
      </c>
      <c r="O27" s="61">
        <f t="shared" ref="O27:O31" si="5">M27/N27</f>
        <v>347094.054</v>
      </c>
      <c r="P27" s="61">
        <f t="shared" ref="P27:P31" si="6">J27*$P$24</f>
        <v>8530257.2960000001</v>
      </c>
      <c r="Q27" s="61">
        <f t="shared" ref="Q27:Q31" si="7">P27*$Q$23</f>
        <v>81519.581278575744</v>
      </c>
      <c r="T27" s="61"/>
      <c r="U27" s="61"/>
      <c r="V27" s="61"/>
    </row>
    <row r="28" spans="2:22" s="31" customFormat="1" x14ac:dyDescent="0.2">
      <c r="B28" s="61">
        <f t="shared" ref="B28:B31" si="8">B27+1</f>
        <v>3</v>
      </c>
      <c r="C28" s="62" t="s">
        <v>58</v>
      </c>
      <c r="D28" s="62" t="str">
        <f>'internal pricelist 3FLRS Sep-25'!D28</f>
        <v>UNSOLD</v>
      </c>
      <c r="E28" s="61" t="s">
        <v>57</v>
      </c>
      <c r="F28" s="63">
        <f>'internal pricelist 3FLRS Sep-25'!F28</f>
        <v>52</v>
      </c>
      <c r="G28" s="63">
        <f>'internal pricelist 3FLRS Sep-25'!G28</f>
        <v>145.36000000000001</v>
      </c>
      <c r="H28" s="61">
        <f>'internal pricelist 3FLRS Sep-25'!Y28</f>
        <v>8994468.8000000007</v>
      </c>
      <c r="I28" s="64">
        <f t="shared" si="2"/>
        <v>899446.88000000012</v>
      </c>
      <c r="J28" s="61">
        <f t="shared" si="3"/>
        <v>9893915.6800000016</v>
      </c>
      <c r="K28" s="61">
        <f t="shared" ref="K28:K31" si="9">J28*$K$24</f>
        <v>1978783.1360000004</v>
      </c>
      <c r="L28" s="61">
        <f>'Internal Pricelist'!AE28</f>
        <v>50000</v>
      </c>
      <c r="M28" s="61">
        <f t="shared" si="4"/>
        <v>1928783.1360000004</v>
      </c>
      <c r="N28" s="61">
        <v>12</v>
      </c>
      <c r="O28" s="61">
        <f t="shared" si="5"/>
        <v>160731.92800000004</v>
      </c>
      <c r="P28" s="61">
        <f t="shared" si="6"/>
        <v>7915132.5440000016</v>
      </c>
      <c r="Q28" s="61">
        <f t="shared" si="7"/>
        <v>75641.128791492927</v>
      </c>
      <c r="T28" s="61"/>
      <c r="U28" s="61"/>
      <c r="V28" s="61"/>
    </row>
    <row r="29" spans="2:22" s="31" customFormat="1" x14ac:dyDescent="0.2">
      <c r="B29" s="61">
        <f t="shared" si="8"/>
        <v>4</v>
      </c>
      <c r="C29" s="62" t="s">
        <v>60</v>
      </c>
      <c r="D29" s="62" t="str">
        <f>'internal pricelist 3FLRS Sep-25'!D29</f>
        <v>UNSOLD</v>
      </c>
      <c r="E29" s="61" t="s">
        <v>57</v>
      </c>
      <c r="F29" s="63">
        <f>'internal pricelist 3FLRS Sep-25'!F29</f>
        <v>52</v>
      </c>
      <c r="G29" s="63">
        <f>'internal pricelist 3FLRS Sep-25'!G29</f>
        <v>197</v>
      </c>
      <c r="H29" s="61">
        <f>'internal pricelist 3FLRS Sep-25'!Y29</f>
        <v>11146260</v>
      </c>
      <c r="I29" s="64">
        <f t="shared" si="2"/>
        <v>1114626</v>
      </c>
      <c r="J29" s="61">
        <f t="shared" si="3"/>
        <v>12260886</v>
      </c>
      <c r="K29" s="61">
        <f t="shared" si="9"/>
        <v>2452177.2000000002</v>
      </c>
      <c r="L29" s="61">
        <f>'Internal Pricelist'!AE29</f>
        <v>50000</v>
      </c>
      <c r="M29" s="61">
        <f t="shared" si="4"/>
        <v>2402177.2000000002</v>
      </c>
      <c r="N29" s="61">
        <v>6</v>
      </c>
      <c r="O29" s="61">
        <f t="shared" si="5"/>
        <v>400362.8666666667</v>
      </c>
      <c r="P29" s="61">
        <f t="shared" si="6"/>
        <v>9808708.8000000007</v>
      </c>
      <c r="Q29" s="61">
        <f t="shared" si="7"/>
        <v>93737.129668343041</v>
      </c>
      <c r="T29" s="61"/>
      <c r="U29" s="61"/>
      <c r="V29" s="61"/>
    </row>
    <row r="30" spans="2:22" s="31" customFormat="1" x14ac:dyDescent="0.2">
      <c r="B30" s="61">
        <f t="shared" si="8"/>
        <v>5</v>
      </c>
      <c r="C30" s="62" t="s">
        <v>61</v>
      </c>
      <c r="D30" s="62" t="str">
        <f>'internal pricelist 3FLRS Sep-25'!D30</f>
        <v>HOLD</v>
      </c>
      <c r="E30" s="61" t="s">
        <v>83</v>
      </c>
      <c r="F30" s="63">
        <f>'internal pricelist 3FLRS Sep-25'!F30</f>
        <v>56</v>
      </c>
      <c r="G30" s="63">
        <f>'internal pricelist 3FLRS Sep-25'!G30</f>
        <v>161.92000000000002</v>
      </c>
      <c r="H30" s="61">
        <f>'internal pricelist 3FLRS Sep-25'!Y30</f>
        <v>9496433.6000000015</v>
      </c>
      <c r="I30" s="64">
        <f t="shared" si="2"/>
        <v>949643.36000000022</v>
      </c>
      <c r="J30" s="61">
        <f t="shared" si="3"/>
        <v>10446076.960000001</v>
      </c>
      <c r="K30" s="61">
        <f t="shared" si="9"/>
        <v>2089215.3920000002</v>
      </c>
      <c r="L30" s="61">
        <f>'Internal Pricelist'!AE30</f>
        <v>50000</v>
      </c>
      <c r="M30" s="61">
        <f t="shared" si="4"/>
        <v>2039215.3920000002</v>
      </c>
      <c r="N30" s="61">
        <v>12</v>
      </c>
      <c r="O30" s="61">
        <f t="shared" si="5"/>
        <v>169934.61600000001</v>
      </c>
      <c r="P30" s="61">
        <f t="shared" si="6"/>
        <v>8356861.5680000009</v>
      </c>
      <c r="Q30" s="61">
        <f t="shared" si="7"/>
        <v>79862.521397312623</v>
      </c>
      <c r="T30" s="61"/>
      <c r="U30" s="61"/>
      <c r="V30" s="61"/>
    </row>
    <row r="31" spans="2:22" s="31" customFormat="1" x14ac:dyDescent="0.2">
      <c r="B31" s="61">
        <f t="shared" si="8"/>
        <v>6</v>
      </c>
      <c r="C31" s="62" t="s">
        <v>62</v>
      </c>
      <c r="D31" s="62" t="str">
        <f>'internal pricelist 3FLRS Sep-25'!D31</f>
        <v>UNSOLD</v>
      </c>
      <c r="E31" s="61" t="s">
        <v>83</v>
      </c>
      <c r="F31" s="63">
        <f>'internal pricelist 3FLRS Sep-25'!F31</f>
        <v>56</v>
      </c>
      <c r="G31" s="63">
        <f>'internal pricelist 3FLRS Sep-25'!G31</f>
        <v>213.56</v>
      </c>
      <c r="H31" s="61">
        <f>'internal pricelist 3FLRS Sep-25'!Y31</f>
        <v>12083224.800000001</v>
      </c>
      <c r="I31" s="64">
        <f t="shared" si="2"/>
        <v>1208322.4800000002</v>
      </c>
      <c r="J31" s="61">
        <f t="shared" si="3"/>
        <v>13291547.280000001</v>
      </c>
      <c r="K31" s="61">
        <f t="shared" si="9"/>
        <v>2658309.4560000002</v>
      </c>
      <c r="L31" s="61">
        <f>'Internal Pricelist'!AE31</f>
        <v>50000</v>
      </c>
      <c r="M31" s="61">
        <f t="shared" si="4"/>
        <v>2608309.4560000002</v>
      </c>
      <c r="N31" s="61">
        <v>6</v>
      </c>
      <c r="O31" s="61">
        <f t="shared" si="5"/>
        <v>434718.24266666669</v>
      </c>
      <c r="P31" s="61">
        <f t="shared" si="6"/>
        <v>10633237.824000001</v>
      </c>
      <c r="Q31" s="61">
        <f t="shared" si="7"/>
        <v>101616.75843640274</v>
      </c>
      <c r="T31" s="61"/>
      <c r="U31" s="61"/>
      <c r="V31" s="61"/>
    </row>
    <row r="32" spans="2:22" s="65" customFormat="1" x14ac:dyDescent="0.2">
      <c r="I32" s="66"/>
    </row>
    <row r="33" spans="3:17" x14ac:dyDescent="0.2">
      <c r="C33" s="28" t="s">
        <v>63</v>
      </c>
      <c r="H33" s="10"/>
      <c r="Q33" s="30"/>
    </row>
    <row r="34" spans="3:17" x14ac:dyDescent="0.2">
      <c r="C34" s="31" t="s">
        <v>64</v>
      </c>
      <c r="J34" s="32"/>
      <c r="K34" s="33"/>
    </row>
    <row r="35" spans="3:17" x14ac:dyDescent="0.2">
      <c r="C35" s="31" t="s">
        <v>65</v>
      </c>
    </row>
    <row r="36" spans="3:17" x14ac:dyDescent="0.2">
      <c r="C36" s="31" t="s">
        <v>66</v>
      </c>
      <c r="J36" s="16"/>
      <c r="K36" s="35"/>
      <c r="M36" s="30"/>
      <c r="N36" s="30"/>
      <c r="O36" s="30"/>
    </row>
    <row r="37" spans="3:17" x14ac:dyDescent="0.2">
      <c r="C37" s="31" t="s">
        <v>67</v>
      </c>
      <c r="J37" s="36"/>
      <c r="K37" s="29"/>
      <c r="L37" s="29"/>
      <c r="M37" s="29"/>
      <c r="N37" s="29"/>
      <c r="P37" s="29"/>
    </row>
    <row r="38" spans="3:17" x14ac:dyDescent="0.2">
      <c r="J38" s="37"/>
      <c r="K38" s="30"/>
      <c r="L38" s="30"/>
      <c r="M38" s="30"/>
      <c r="N38" s="30"/>
      <c r="P38" s="30"/>
    </row>
    <row r="39" spans="3:17" x14ac:dyDescent="0.2">
      <c r="P39" s="30"/>
    </row>
    <row r="40" spans="3:17" hidden="1" x14ac:dyDescent="0.2"/>
    <row r="41" spans="3:17" hidden="1" x14ac:dyDescent="0.2">
      <c r="F41" s="34"/>
      <c r="O41" s="30"/>
    </row>
    <row r="42" spans="3:17" hidden="1" x14ac:dyDescent="0.2">
      <c r="F42" s="38"/>
      <c r="K42" s="30" t="s">
        <v>68</v>
      </c>
      <c r="L42" s="30"/>
      <c r="O42" s="39"/>
    </row>
    <row r="43" spans="3:17" hidden="1" x14ac:dyDescent="0.2">
      <c r="F43" s="34"/>
      <c r="H43" s="30" t="s">
        <v>69</v>
      </c>
      <c r="I43" s="10" t="e">
        <f>I51/I44</f>
        <v>#REF!</v>
      </c>
      <c r="K43" s="40" t="s">
        <v>70</v>
      </c>
      <c r="L43" s="41" t="e">
        <f>I45-I46-I47-I49</f>
        <v>#REF!</v>
      </c>
    </row>
    <row r="44" spans="3:17" hidden="1" x14ac:dyDescent="0.2">
      <c r="F44" s="38"/>
      <c r="H44" s="9" t="s">
        <v>52</v>
      </c>
      <c r="I44" s="10">
        <f>G26</f>
        <v>156.74</v>
      </c>
      <c r="J44" s="16"/>
      <c r="K44" s="30" t="s">
        <v>71</v>
      </c>
      <c r="L44" s="30" t="e">
        <f>L43*5%</f>
        <v>#REF!</v>
      </c>
    </row>
    <row r="45" spans="3:17" hidden="1" x14ac:dyDescent="0.2">
      <c r="H45" s="9" t="s">
        <v>30</v>
      </c>
      <c r="I45" s="10" t="e">
        <f>#REF!</f>
        <v>#REF!</v>
      </c>
      <c r="K45" s="42" t="s">
        <v>72</v>
      </c>
      <c r="L45" s="42" t="e">
        <f>L44*0.1</f>
        <v>#REF!</v>
      </c>
    </row>
    <row r="46" spans="3:17" hidden="1" x14ac:dyDescent="0.2">
      <c r="H46" s="43">
        <v>2.5000000000000001E-2</v>
      </c>
      <c r="I46" s="30" t="e">
        <f>I45*H46</f>
        <v>#REF!</v>
      </c>
      <c r="J46" s="16"/>
      <c r="K46" s="44" t="s">
        <v>73</v>
      </c>
      <c r="L46" s="44" t="e">
        <f>L44-L45</f>
        <v>#REF!</v>
      </c>
    </row>
    <row r="47" spans="3:17" hidden="1" x14ac:dyDescent="0.2">
      <c r="H47" s="45">
        <v>0.1</v>
      </c>
      <c r="I47" s="30" t="e">
        <f>(I45-I46)*H47</f>
        <v>#REF!</v>
      </c>
      <c r="J47" s="36"/>
      <c r="K47" s="42"/>
    </row>
    <row r="48" spans="3:17" hidden="1" x14ac:dyDescent="0.2">
      <c r="H48" s="46">
        <v>0.05</v>
      </c>
      <c r="I48" s="47" t="e">
        <f>L46</f>
        <v>#REF!</v>
      </c>
      <c r="J48" s="16"/>
      <c r="K48" s="35"/>
    </row>
    <row r="49" spans="8:12" hidden="1" x14ac:dyDescent="0.2">
      <c r="H49" s="43">
        <v>5.0000000000000001E-3</v>
      </c>
      <c r="I49" s="33" t="e">
        <f>(I45-I46-I47)*H49</f>
        <v>#REF!</v>
      </c>
      <c r="J49" s="36"/>
      <c r="K49" s="29"/>
      <c r="L49" s="29"/>
    </row>
    <row r="50" spans="8:12" hidden="1" x14ac:dyDescent="0.2">
      <c r="J50" s="37"/>
      <c r="K50" s="30"/>
      <c r="L50" s="30"/>
    </row>
    <row r="51" spans="8:12" hidden="1" x14ac:dyDescent="0.2">
      <c r="H51" s="48" t="s">
        <v>74</v>
      </c>
      <c r="I51" s="49" t="e">
        <f>I45-I46-I47-I48-I49</f>
        <v>#REF!</v>
      </c>
      <c r="J51" s="45"/>
      <c r="K51" s="30"/>
      <c r="L51" s="30"/>
    </row>
    <row r="52" spans="8:12" hidden="1" x14ac:dyDescent="0.2">
      <c r="H52" s="30" t="str">
        <f>I25</f>
        <v>( + ) LEGAL AND MISCS. FEES</v>
      </c>
      <c r="I52" s="10" t="e">
        <f>I51*10%</f>
        <v>#REF!</v>
      </c>
      <c r="K52" s="30"/>
    </row>
    <row r="53" spans="8:12" hidden="1" x14ac:dyDescent="0.2">
      <c r="K53" s="30"/>
    </row>
    <row r="54" spans="8:12" hidden="1" x14ac:dyDescent="0.2">
      <c r="H54" s="50" t="s">
        <v>75</v>
      </c>
      <c r="I54" s="51" t="e">
        <f>I51+I52</f>
        <v>#REF!</v>
      </c>
      <c r="J54" s="52"/>
      <c r="K54" s="42"/>
      <c r="L54" s="53"/>
    </row>
    <row r="55" spans="8:12" hidden="1" x14ac:dyDescent="0.2">
      <c r="I55" s="10">
        <v>8397056</v>
      </c>
      <c r="J55" s="32"/>
      <c r="K55" s="30"/>
    </row>
    <row r="56" spans="8:12" hidden="1" x14ac:dyDescent="0.2">
      <c r="I56" s="10" t="e">
        <f>I54-I55</f>
        <v>#REF!</v>
      </c>
      <c r="J56" s="16"/>
      <c r="K56" s="42"/>
    </row>
    <row r="57" spans="8:12" hidden="1" x14ac:dyDescent="0.2">
      <c r="I57" s="10" t="e">
        <f>I56/5</f>
        <v>#REF!</v>
      </c>
    </row>
    <row r="58" spans="8:12" x14ac:dyDescent="0.2">
      <c r="J58" s="16"/>
      <c r="K58" s="35"/>
    </row>
    <row r="59" spans="8:12" x14ac:dyDescent="0.2">
      <c r="J59" s="36"/>
      <c r="K59" s="29"/>
      <c r="L59" s="29"/>
    </row>
    <row r="60" spans="8:12" x14ac:dyDescent="0.2">
      <c r="J60" s="37"/>
      <c r="K60" s="30"/>
      <c r="L60" s="30"/>
    </row>
    <row r="61" spans="8:12" x14ac:dyDescent="0.2">
      <c r="J61" s="37"/>
      <c r="K61" s="30"/>
      <c r="L61" s="30"/>
    </row>
    <row r="62" spans="8:12" x14ac:dyDescent="0.2">
      <c r="J62" s="45"/>
      <c r="K62" s="30"/>
      <c r="L62" s="30"/>
    </row>
    <row r="63" spans="8:12" x14ac:dyDescent="0.2">
      <c r="K63" s="30"/>
    </row>
    <row r="64" spans="8:12" x14ac:dyDescent="0.2">
      <c r="K64" s="30"/>
    </row>
    <row r="65" spans="10:12" x14ac:dyDescent="0.2">
      <c r="J65" s="52"/>
      <c r="K65" s="42"/>
      <c r="L65" s="53"/>
    </row>
    <row r="66" spans="10:12" x14ac:dyDescent="0.2">
      <c r="J66" s="32"/>
      <c r="K66" s="30"/>
    </row>
    <row r="67" spans="10:12" x14ac:dyDescent="0.2">
      <c r="J67" s="16"/>
      <c r="K67" s="42"/>
    </row>
    <row r="69" spans="10:12" x14ac:dyDescent="0.2">
      <c r="K69" s="26"/>
    </row>
    <row r="70" spans="10:12" x14ac:dyDescent="0.2">
      <c r="K70" s="30"/>
    </row>
    <row r="71" spans="10:12" x14ac:dyDescent="0.2">
      <c r="K71" s="26"/>
    </row>
    <row r="72" spans="10:12" x14ac:dyDescent="0.2">
      <c r="K72" s="54"/>
    </row>
  </sheetData>
  <sheetProtection algorithmName="SHA-512" hashValue="ECt9PTwmgM4acQOcJ1qpymGDnhay9nQiHg5BILkMg9DYxatI1pQcuMpksOoFJzP+kAYQaTxF5bc88GRNEh+mrQ==" saltValue="igtaYDyjMaqQALDiOh36tQ==" spinCount="100000" sheet="1" objects="1" scenarios="1"/>
  <mergeCells count="14">
    <mergeCell ref="T24:V24"/>
    <mergeCell ref="H24:H25"/>
    <mergeCell ref="J24:J25"/>
    <mergeCell ref="L24:L25"/>
    <mergeCell ref="M24:M25"/>
    <mergeCell ref="N24:N25"/>
    <mergeCell ref="O24:O25"/>
    <mergeCell ref="F24:F25"/>
    <mergeCell ref="G24:G25"/>
    <mergeCell ref="B3:D3"/>
    <mergeCell ref="B24:B25"/>
    <mergeCell ref="C24:C25"/>
    <mergeCell ref="D24:D25"/>
    <mergeCell ref="E24:E25"/>
  </mergeCells>
  <pageMargins left="0.23622047244094491" right="0.23622047244094491" top="0.74803149606299213" bottom="0.74803149606299213" header="0.31496062992125984" footer="0.31496062992125984"/>
  <pageSetup paperSize="5" scale="90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307CB-7485-4277-9A18-C6F8B48F7D56}">
  <dimension ref="A1:BA858"/>
  <sheetViews>
    <sheetView view="pageBreakPreview" zoomScale="60" zoomScaleNormal="90" workbookViewId="0">
      <selection activeCell="Q78" sqref="B1:Q78"/>
    </sheetView>
  </sheetViews>
  <sheetFormatPr defaultColWidth="8.85546875" defaultRowHeight="16.5" x14ac:dyDescent="0.3"/>
  <cols>
    <col min="1" max="1" width="1" style="91" customWidth="1"/>
    <col min="2" max="2" width="12.5703125" style="91" customWidth="1"/>
    <col min="3" max="3" width="18.7109375" style="91" customWidth="1"/>
    <col min="4" max="4" width="17.85546875" style="91" customWidth="1"/>
    <col min="5" max="5" width="23.42578125" style="91" customWidth="1"/>
    <col min="6" max="6" width="15.140625" style="91" customWidth="1"/>
    <col min="7" max="7" width="8.140625" style="91" customWidth="1"/>
    <col min="8" max="8" width="4.42578125" style="91" customWidth="1"/>
    <col min="9" max="9" width="17.7109375" style="91" customWidth="1"/>
    <col min="10" max="10" width="2.28515625" style="91" customWidth="1"/>
    <col min="11" max="11" width="9.140625" style="91" customWidth="1"/>
    <col min="12" max="12" width="20.28515625" style="93" customWidth="1"/>
    <col min="13" max="13" width="18.28515625" style="91" customWidth="1"/>
    <col min="14" max="14" width="21.7109375" style="91" customWidth="1"/>
    <col min="15" max="15" width="12.28515625" style="91" customWidth="1"/>
    <col min="16" max="16" width="16.85546875" style="91" customWidth="1"/>
    <col min="17" max="17" width="21.42578125" style="91" customWidth="1"/>
    <col min="18" max="18" width="4.7109375" style="91" customWidth="1"/>
    <col min="19" max="19" width="8.85546875" style="91"/>
    <col min="20" max="20" width="19" style="91" hidden="1" customWidth="1"/>
    <col min="21" max="22" width="8.85546875" style="91" hidden="1" customWidth="1"/>
    <col min="23" max="24" width="11.42578125" style="91" hidden="1" customWidth="1"/>
    <col min="25" max="26" width="0" style="91" hidden="1" customWidth="1"/>
    <col min="27" max="27" width="11.28515625" style="91" hidden="1" customWidth="1"/>
    <col min="28" max="28" width="8.85546875" style="91"/>
    <col min="29" max="29" width="13.140625" style="91" customWidth="1"/>
    <col min="30" max="30" width="14.5703125" style="91" customWidth="1"/>
    <col min="31" max="31" width="8.85546875" style="91"/>
    <col min="32" max="32" width="9.140625" style="91" bestFit="1" customWidth="1"/>
    <col min="33" max="33" width="17.140625" style="91" customWidth="1"/>
    <col min="34" max="34" width="17.85546875" style="91" customWidth="1"/>
    <col min="35" max="35" width="9.7109375" style="91" customWidth="1"/>
    <col min="36" max="36" width="10.7109375" style="234" customWidth="1"/>
    <col min="37" max="37" width="13.42578125" style="91" customWidth="1"/>
    <col min="38" max="38" width="12.7109375" style="91" customWidth="1"/>
    <col min="39" max="39" width="13.140625" style="91" customWidth="1"/>
    <col min="40" max="41" width="13.28515625" style="91" customWidth="1"/>
    <col min="42" max="42" width="11.28515625" style="91" customWidth="1"/>
    <col min="43" max="43" width="14.85546875" style="91" customWidth="1"/>
    <col min="44" max="44" width="5.85546875" style="91" customWidth="1"/>
    <col min="45" max="45" width="11.7109375" style="91" customWidth="1"/>
    <col min="46" max="46" width="12.7109375" style="91" customWidth="1"/>
    <col min="47" max="47" width="11.7109375" style="91" customWidth="1"/>
    <col min="48" max="48" width="12.7109375" style="91" customWidth="1"/>
    <col min="49" max="49" width="12.7109375" style="235" customWidth="1"/>
    <col min="50" max="50" width="14.5703125" style="236" customWidth="1"/>
    <col min="51" max="55" width="12.7109375" style="91" customWidth="1"/>
    <col min="56" max="16384" width="8.85546875" style="91"/>
  </cols>
  <sheetData>
    <row r="1" spans="1:17" ht="4.5" customHeight="1" x14ac:dyDescent="0.3">
      <c r="B1" s="227"/>
      <c r="C1" s="228">
        <f>(F15-(F16+F25))*12%</f>
        <v>1147336.8</v>
      </c>
      <c r="D1" s="229">
        <f>[3]FORM!A14</f>
        <v>107</v>
      </c>
      <c r="E1" s="230"/>
      <c r="F1" s="102"/>
      <c r="G1" s="231"/>
      <c r="H1" s="231"/>
      <c r="J1" s="232">
        <v>0.01</v>
      </c>
      <c r="K1" s="230"/>
      <c r="L1" s="233"/>
      <c r="M1" s="233"/>
      <c r="N1" s="171"/>
    </row>
    <row r="2" spans="1:17" x14ac:dyDescent="0.3">
      <c r="B2" s="237" t="s">
        <v>94</v>
      </c>
      <c r="C2" s="104">
        <f ca="1">NOW()</f>
        <v>45932.593793518521</v>
      </c>
      <c r="D2" s="169"/>
      <c r="F2" s="98" t="s">
        <v>95</v>
      </c>
      <c r="G2" s="357" t="s">
        <v>96</v>
      </c>
      <c r="H2" s="357"/>
      <c r="I2" s="357"/>
      <c r="J2" s="85"/>
      <c r="K2" s="238" t="s">
        <v>94</v>
      </c>
      <c r="L2" s="104">
        <f ca="1">C2</f>
        <v>45932.593793518521</v>
      </c>
      <c r="M2" s="76"/>
      <c r="O2" s="82"/>
      <c r="P2" s="237" t="s">
        <v>97</v>
      </c>
      <c r="Q2" s="239" t="s">
        <v>98</v>
      </c>
    </row>
    <row r="3" spans="1:17" x14ac:dyDescent="0.3">
      <c r="C3" s="102"/>
      <c r="D3" s="102"/>
      <c r="E3" s="85"/>
      <c r="F3" s="85"/>
      <c r="G3" s="85"/>
      <c r="H3" s="85"/>
      <c r="I3" s="85"/>
      <c r="J3" s="85"/>
      <c r="K3" s="240"/>
      <c r="L3" s="241"/>
      <c r="M3" s="242"/>
      <c r="N3" s="139"/>
      <c r="O3" s="139"/>
      <c r="P3" s="139"/>
      <c r="Q3" s="139"/>
    </row>
    <row r="4" spans="1:17" ht="18.75" customHeight="1" x14ac:dyDescent="0.3">
      <c r="A4" s="76"/>
      <c r="B4" s="358" t="s">
        <v>99</v>
      </c>
      <c r="C4" s="358"/>
      <c r="D4" s="358"/>
      <c r="E4" s="358"/>
      <c r="F4" s="358"/>
      <c r="G4" s="358"/>
      <c r="H4" s="358"/>
      <c r="I4" s="359"/>
      <c r="J4" s="85"/>
      <c r="K4" s="360" t="s">
        <v>100</v>
      </c>
      <c r="L4" s="360"/>
      <c r="M4" s="360"/>
      <c r="N4" s="360"/>
      <c r="O4" s="360"/>
      <c r="P4" s="360"/>
      <c r="Q4" s="360"/>
    </row>
    <row r="5" spans="1:17" ht="12" customHeight="1" x14ac:dyDescent="0.3">
      <c r="A5" s="76"/>
      <c r="B5" s="76"/>
      <c r="C5" s="79"/>
      <c r="D5" s="79"/>
      <c r="E5" s="76"/>
      <c r="F5" s="79"/>
      <c r="G5" s="79"/>
      <c r="H5" s="79"/>
      <c r="I5" s="243"/>
      <c r="J5" s="85"/>
      <c r="K5" s="85"/>
      <c r="L5" s="85"/>
      <c r="M5" s="244"/>
      <c r="N5" s="76"/>
      <c r="O5" s="76"/>
      <c r="P5" s="76"/>
      <c r="Q5" s="76"/>
    </row>
    <row r="6" spans="1:17" x14ac:dyDescent="0.3">
      <c r="A6" s="76"/>
      <c r="B6" s="119" t="s">
        <v>101</v>
      </c>
      <c r="C6" s="71"/>
      <c r="D6" s="88" t="s">
        <v>102</v>
      </c>
      <c r="E6" s="361"/>
      <c r="F6" s="362"/>
      <c r="G6" s="362"/>
      <c r="H6" s="362"/>
      <c r="I6" s="363"/>
      <c r="J6" s="85"/>
      <c r="K6" s="364" t="s">
        <v>101</v>
      </c>
      <c r="L6" s="364"/>
      <c r="M6" s="88" t="s">
        <v>102</v>
      </c>
      <c r="N6" s="365">
        <f t="shared" ref="N6:N12" si="0">E6</f>
        <v>0</v>
      </c>
      <c r="O6" s="365"/>
      <c r="P6" s="365"/>
      <c r="Q6" s="365"/>
    </row>
    <row r="7" spans="1:17" ht="17.25" thickBot="1" x14ac:dyDescent="0.35">
      <c r="A7" s="76"/>
      <c r="B7" s="126" t="s">
        <v>103</v>
      </c>
      <c r="C7" s="125"/>
      <c r="D7" s="88" t="s">
        <v>102</v>
      </c>
      <c r="E7" s="361" t="str">
        <f>Pricelink!E18</f>
        <v>Terraces Commonwealth Townhouse</v>
      </c>
      <c r="F7" s="362"/>
      <c r="G7" s="362"/>
      <c r="H7" s="362"/>
      <c r="I7" s="363"/>
      <c r="J7" s="85"/>
      <c r="K7" s="364" t="s">
        <v>103</v>
      </c>
      <c r="L7" s="364"/>
      <c r="M7" s="245" t="s">
        <v>102</v>
      </c>
      <c r="N7" s="365" t="str">
        <f t="shared" si="0"/>
        <v>Terraces Commonwealth Townhouse</v>
      </c>
      <c r="O7" s="365"/>
      <c r="P7" s="365"/>
      <c r="Q7" s="365"/>
    </row>
    <row r="8" spans="1:17" x14ac:dyDescent="0.3">
      <c r="A8" s="83"/>
      <c r="B8" s="119" t="s">
        <v>18</v>
      </c>
      <c r="C8" s="71"/>
      <c r="D8" s="88" t="s">
        <v>102</v>
      </c>
      <c r="E8" s="361" t="str">
        <f>Pricelink!C26</f>
        <v>Unit A</v>
      </c>
      <c r="F8" s="362"/>
      <c r="G8" s="362"/>
      <c r="H8" s="362"/>
      <c r="I8" s="363"/>
      <c r="J8" s="85"/>
      <c r="K8" s="364" t="s">
        <v>104</v>
      </c>
      <c r="L8" s="364"/>
      <c r="M8" s="88" t="s">
        <v>102</v>
      </c>
      <c r="N8" s="365" t="str">
        <f t="shared" si="0"/>
        <v>Unit A</v>
      </c>
      <c r="O8" s="365"/>
      <c r="P8" s="365"/>
      <c r="Q8" s="365"/>
    </row>
    <row r="9" spans="1:17" hidden="1" x14ac:dyDescent="0.3">
      <c r="A9" s="76"/>
      <c r="B9" s="126"/>
      <c r="C9" s="125"/>
      <c r="D9" s="88"/>
      <c r="E9" s="361"/>
      <c r="F9" s="362"/>
      <c r="G9" s="362"/>
      <c r="H9" s="362"/>
      <c r="I9" s="363"/>
      <c r="J9" s="85"/>
      <c r="K9" s="364"/>
      <c r="L9" s="364"/>
      <c r="M9" s="88"/>
      <c r="N9" s="365"/>
      <c r="O9" s="365"/>
      <c r="P9" s="365"/>
      <c r="Q9" s="365"/>
    </row>
    <row r="10" spans="1:17" ht="17.25" thickBot="1" x14ac:dyDescent="0.35">
      <c r="A10" s="76"/>
      <c r="B10" s="126" t="s">
        <v>105</v>
      </c>
      <c r="C10" s="125"/>
      <c r="D10" s="88" t="s">
        <v>102</v>
      </c>
      <c r="E10" s="361" t="str">
        <f>Pricelink!E27</f>
        <v>Front with own garage gate</v>
      </c>
      <c r="F10" s="362"/>
      <c r="G10" s="362"/>
      <c r="H10" s="362"/>
      <c r="I10" s="363"/>
      <c r="J10" s="85"/>
      <c r="K10" s="364" t="s">
        <v>105</v>
      </c>
      <c r="L10" s="364"/>
      <c r="M10" s="245" t="s">
        <v>102</v>
      </c>
      <c r="N10" s="365" t="str">
        <f t="shared" si="0"/>
        <v>Front with own garage gate</v>
      </c>
      <c r="O10" s="365"/>
      <c r="P10" s="365"/>
      <c r="Q10" s="365"/>
    </row>
    <row r="11" spans="1:17" x14ac:dyDescent="0.3">
      <c r="A11" s="76"/>
      <c r="B11" s="126" t="s">
        <v>106</v>
      </c>
      <c r="C11" s="125"/>
      <c r="D11" s="88" t="s">
        <v>102</v>
      </c>
      <c r="E11" s="366">
        <f>Pricelink!F26</f>
        <v>66</v>
      </c>
      <c r="F11" s="367"/>
      <c r="G11" s="189" t="s">
        <v>107</v>
      </c>
      <c r="H11" s="362"/>
      <c r="I11" s="363"/>
      <c r="J11" s="85"/>
      <c r="K11" s="364" t="s">
        <v>108</v>
      </c>
      <c r="L11" s="364"/>
      <c r="M11" s="88" t="s">
        <v>102</v>
      </c>
      <c r="N11" s="368">
        <f t="shared" si="0"/>
        <v>66</v>
      </c>
      <c r="O11" s="369"/>
      <c r="P11" s="370" t="s">
        <v>107</v>
      </c>
      <c r="Q11" s="371"/>
    </row>
    <row r="12" spans="1:17" x14ac:dyDescent="0.3">
      <c r="A12" s="83"/>
      <c r="B12" s="120" t="s">
        <v>92</v>
      </c>
      <c r="C12" s="71"/>
      <c r="D12" s="88" t="s">
        <v>102</v>
      </c>
      <c r="E12" s="366">
        <f>Pricelink!G26</f>
        <v>156.74</v>
      </c>
      <c r="F12" s="367"/>
      <c r="G12" s="189" t="s">
        <v>107</v>
      </c>
      <c r="H12" s="370"/>
      <c r="I12" s="371"/>
      <c r="J12" s="85"/>
      <c r="K12" s="364" t="s">
        <v>109</v>
      </c>
      <c r="L12" s="364"/>
      <c r="M12" s="88" t="s">
        <v>102</v>
      </c>
      <c r="N12" s="372">
        <f t="shared" si="0"/>
        <v>156.74</v>
      </c>
      <c r="O12" s="373"/>
      <c r="P12" s="370" t="s">
        <v>107</v>
      </c>
      <c r="Q12" s="371"/>
    </row>
    <row r="13" spans="1:17" x14ac:dyDescent="0.3">
      <c r="A13" s="246"/>
      <c r="B13" s="247"/>
      <c r="C13" s="248"/>
      <c r="D13" s="88"/>
      <c r="E13" s="382"/>
      <c r="F13" s="383"/>
      <c r="G13" s="189"/>
      <c r="H13" s="370"/>
      <c r="I13" s="371"/>
      <c r="J13" s="85"/>
      <c r="K13" s="384"/>
      <c r="L13" s="384"/>
      <c r="M13" s="88"/>
      <c r="N13" s="372"/>
      <c r="O13" s="373"/>
      <c r="P13" s="370"/>
      <c r="Q13" s="371"/>
    </row>
    <row r="14" spans="1:17" x14ac:dyDescent="0.3">
      <c r="A14" s="76"/>
      <c r="B14" s="76"/>
      <c r="C14" s="249"/>
      <c r="D14" s="88"/>
      <c r="E14" s="85"/>
      <c r="F14" s="250"/>
      <c r="G14" s="250"/>
      <c r="H14" s="251"/>
      <c r="I14" s="252"/>
      <c r="J14" s="85"/>
      <c r="K14" s="76"/>
      <c r="L14" s="76"/>
      <c r="M14" s="78"/>
      <c r="N14" s="76"/>
      <c r="O14" s="76"/>
      <c r="P14" s="76"/>
      <c r="Q14" s="76"/>
    </row>
    <row r="15" spans="1:17" ht="15" customHeight="1" x14ac:dyDescent="0.3">
      <c r="A15" s="76"/>
      <c r="B15" s="143" t="s">
        <v>110</v>
      </c>
      <c r="C15" s="143"/>
      <c r="D15" s="253" t="s">
        <v>102</v>
      </c>
      <c r="E15" s="254"/>
      <c r="F15" s="385">
        <f>Pricelink!H26</f>
        <v>9561140</v>
      </c>
      <c r="G15" s="385"/>
      <c r="H15" s="385"/>
      <c r="I15" s="386"/>
      <c r="J15" s="85"/>
      <c r="K15" s="387" t="s">
        <v>111</v>
      </c>
      <c r="L15" s="387"/>
      <c r="M15" s="388" t="s">
        <v>112</v>
      </c>
      <c r="N15" s="387" t="s">
        <v>113</v>
      </c>
      <c r="O15" s="387"/>
      <c r="P15" s="389" t="s">
        <v>114</v>
      </c>
      <c r="Q15" s="390"/>
    </row>
    <row r="16" spans="1:17" x14ac:dyDescent="0.3">
      <c r="A16" s="76"/>
      <c r="B16" s="72" t="s">
        <v>115</v>
      </c>
      <c r="C16" s="125"/>
      <c r="D16" s="255" t="s">
        <v>102</v>
      </c>
      <c r="E16" s="256"/>
      <c r="F16" s="374">
        <f>E16*F15</f>
        <v>0</v>
      </c>
      <c r="G16" s="374"/>
      <c r="H16" s="374"/>
      <c r="I16" s="375"/>
      <c r="J16" s="79"/>
      <c r="K16" s="387"/>
      <c r="L16" s="387"/>
      <c r="M16" s="388"/>
      <c r="N16" s="387"/>
      <c r="O16" s="387"/>
      <c r="P16" s="391"/>
      <c r="Q16" s="392"/>
    </row>
    <row r="17" spans="1:50" x14ac:dyDescent="0.3">
      <c r="A17" s="76"/>
      <c r="B17" s="148" t="s">
        <v>70</v>
      </c>
      <c r="C17" s="73"/>
      <c r="D17" s="85" t="s">
        <v>102</v>
      </c>
      <c r="E17" s="254"/>
      <c r="F17" s="376">
        <f>F15-F16</f>
        <v>9561140</v>
      </c>
      <c r="G17" s="376"/>
      <c r="H17" s="376"/>
      <c r="I17" s="377"/>
      <c r="J17" s="79"/>
      <c r="K17" s="378" t="s">
        <v>33</v>
      </c>
      <c r="L17" s="378"/>
      <c r="M17" s="257">
        <f ca="1">C2</f>
        <v>45932.593793518521</v>
      </c>
      <c r="N17" s="379">
        <f>F26</f>
        <v>50000</v>
      </c>
      <c r="O17" s="379"/>
      <c r="P17" s="380"/>
      <c r="Q17" s="381"/>
      <c r="W17" s="258">
        <f ca="1">M17</f>
        <v>45932.593793518521</v>
      </c>
      <c r="X17" s="258">
        <f ca="1">EDATE(W17,E29)</f>
        <v>46297</v>
      </c>
    </row>
    <row r="18" spans="1:50" x14ac:dyDescent="0.3">
      <c r="A18" s="76"/>
      <c r="B18" s="150"/>
      <c r="C18" s="249"/>
      <c r="D18" s="88"/>
      <c r="E18" s="79"/>
      <c r="F18" s="259"/>
      <c r="G18" s="260"/>
      <c r="H18" s="261"/>
      <c r="I18" s="261"/>
      <c r="J18" s="79"/>
      <c r="K18" s="378" t="str">
        <f t="shared" ref="K18:K63" si="1">IF(N18&gt;1,T18,0)</f>
        <v>1st EQUITY PAYMENT</v>
      </c>
      <c r="L18" s="378"/>
      <c r="M18" s="257">
        <f t="shared" ref="M18:M63" ca="1" si="2">IF(N18&gt;1,W18,"")</f>
        <v>45966</v>
      </c>
      <c r="N18" s="379">
        <f>IF(E29&gt;0,F29,"")</f>
        <v>171120.90000000002</v>
      </c>
      <c r="O18" s="379"/>
      <c r="P18" s="380"/>
      <c r="Q18" s="381"/>
      <c r="T18" s="396" t="s">
        <v>116</v>
      </c>
      <c r="U18" s="396"/>
      <c r="W18" s="257">
        <f ca="1">IF(DAY(W17)=31,Y20,AA20)</f>
        <v>45966</v>
      </c>
      <c r="Y18" s="399" t="s">
        <v>117</v>
      </c>
      <c r="Z18" s="399"/>
    </row>
    <row r="19" spans="1:50" hidden="1" x14ac:dyDescent="0.3">
      <c r="A19" s="83"/>
      <c r="B19" s="72" t="s">
        <v>118</v>
      </c>
      <c r="C19" s="125"/>
      <c r="D19" s="255" t="s">
        <v>102</v>
      </c>
      <c r="E19" s="262">
        <v>0</v>
      </c>
      <c r="F19" s="374">
        <f>E19*F17</f>
        <v>0</v>
      </c>
      <c r="G19" s="374"/>
      <c r="H19" s="374"/>
      <c r="I19" s="375"/>
      <c r="J19" s="79"/>
      <c r="K19" s="378" t="str">
        <f t="shared" si="1"/>
        <v>2nd EQUITY PAYMENT</v>
      </c>
      <c r="L19" s="378"/>
      <c r="M19" s="257">
        <f t="shared" ca="1" si="2"/>
        <v>45996</v>
      </c>
      <c r="N19" s="379">
        <f>IF(E29&gt;1,F29,0)</f>
        <v>171120.90000000002</v>
      </c>
      <c r="O19" s="379"/>
      <c r="P19" s="380"/>
      <c r="Q19" s="381"/>
      <c r="T19" s="396" t="s">
        <v>119</v>
      </c>
      <c r="U19" s="396"/>
      <c r="W19" s="257">
        <f t="shared" ref="W19:W61" ca="1" si="3">IF(AND(DAY(W18)&gt;=6,DAY(W18)&lt;=20),DATE(YEAR(W18),MONTH(W18)+1,DAY(20)),IF(AND(DAY(W18)&gt;=21,DAY(W18)&lt;=30),DATE(YEAR(W18),MONTH(W18)+1,IF(DAY(EOMONTH(W18,1))&lt;30,DAY(EOMONTH(W18,1)),DAY(30))),DATE(YEAR(W18),MONTH(W18)+1,DAY(5))))</f>
        <v>45996</v>
      </c>
      <c r="X19" s="263" t="s">
        <v>120</v>
      </c>
      <c r="Y19" s="397" t="b">
        <f ca="1">IF(DAY(W17)=31,DATE(YEAR(X17),MONTH(X17)+2,DAY(5)))</f>
        <v>0</v>
      </c>
      <c r="Z19" s="398"/>
      <c r="AA19" s="264">
        <f ca="1">IF(AND(DAY(X17)&gt;=6,DAY(X17)&lt;=20),DATE(YEAR(X17),MONTH(X17)+1,DAY(20)),IF(AND(DAY(X17)&gt;=21,DAY(X17)&lt;=31),DATE(YEAR(X17),MONTH(X17)+1,IF(DAY(EOMONTH(X17,1))&lt;30,DAY(EOMONTH(X17,1)),DAY(30))),DATE(YEAR(X17),MONTH(X17)+1,DAY(5))))</f>
        <v>46331</v>
      </c>
    </row>
    <row r="20" spans="1:50" x14ac:dyDescent="0.3">
      <c r="A20" s="246"/>
      <c r="B20" s="180" t="s">
        <v>121</v>
      </c>
      <c r="C20" s="73"/>
      <c r="D20" s="88" t="s">
        <v>102</v>
      </c>
      <c r="E20" s="155">
        <v>0.1</v>
      </c>
      <c r="F20" s="393">
        <f>E20*F15</f>
        <v>956114</v>
      </c>
      <c r="G20" s="394"/>
      <c r="H20" s="394"/>
      <c r="I20" s="395"/>
      <c r="J20" s="79"/>
      <c r="K20" s="378" t="str">
        <f t="shared" si="1"/>
        <v>3rd EQUITY PAYMENT</v>
      </c>
      <c r="L20" s="378"/>
      <c r="M20" s="257">
        <f t="shared" ca="1" si="2"/>
        <v>46027</v>
      </c>
      <c r="N20" s="379">
        <f>IF(E29&gt;2,F29,0)</f>
        <v>171120.90000000002</v>
      </c>
      <c r="O20" s="379"/>
      <c r="P20" s="380"/>
      <c r="Q20" s="381"/>
      <c r="T20" s="396" t="s">
        <v>122</v>
      </c>
      <c r="U20" s="396"/>
      <c r="W20" s="257">
        <f t="shared" ca="1" si="3"/>
        <v>46027</v>
      </c>
      <c r="X20" s="263" t="s">
        <v>123</v>
      </c>
      <c r="Y20" s="397" t="b">
        <f ca="1">IF(DAY(W17)=31,DATE(YEAR(W17),MONTH(W17)+2,DAY(5)))</f>
        <v>0</v>
      </c>
      <c r="Z20" s="398"/>
      <c r="AA20" s="264">
        <f ca="1">IF(AND(DAY(W17)&gt;=6,DAY(W17)&lt;=20),DATE(YEAR(W17),MONTH(W17)+1,DAY(20)),IF(AND(DAY(W17)&gt;=21,DAY(W17)&lt;=30),DATE(YEAR(W17),MONTH(W17)+1,IF(DAY(EOMONTH(W17,1))&lt;31,DAY(EOMONTH(W17,1)),DAY(30))),DATE(YEAR(W17),MONTH(W17)+1,DAY(5))))</f>
        <v>45966</v>
      </c>
      <c r="AX20" s="91"/>
    </row>
    <row r="21" spans="1:50" x14ac:dyDescent="0.3">
      <c r="A21" s="76"/>
      <c r="B21" s="150"/>
      <c r="C21" s="79"/>
      <c r="D21" s="88"/>
      <c r="E21" s="85"/>
      <c r="F21" s="265"/>
      <c r="G21" s="259"/>
      <c r="H21" s="259"/>
      <c r="I21" s="259"/>
      <c r="J21" s="79"/>
      <c r="K21" s="378" t="str">
        <f t="shared" si="1"/>
        <v>4th EQUITY PAYMENT</v>
      </c>
      <c r="L21" s="378"/>
      <c r="M21" s="257">
        <f t="shared" ca="1" si="2"/>
        <v>46058</v>
      </c>
      <c r="N21" s="379">
        <f>IF(E29&gt;3,F29,0)</f>
        <v>171120.90000000002</v>
      </c>
      <c r="O21" s="379"/>
      <c r="P21" s="380"/>
      <c r="Q21" s="381"/>
      <c r="T21" s="396" t="s">
        <v>124</v>
      </c>
      <c r="U21" s="396"/>
      <c r="W21" s="257">
        <f t="shared" ca="1" si="3"/>
        <v>46058</v>
      </c>
      <c r="AX21" s="91"/>
    </row>
    <row r="22" spans="1:50" x14ac:dyDescent="0.3">
      <c r="A22" s="76"/>
      <c r="B22" s="148" t="s">
        <v>32</v>
      </c>
      <c r="C22" s="73"/>
      <c r="D22" s="85" t="s">
        <v>102</v>
      </c>
      <c r="E22" s="266"/>
      <c r="F22" s="400">
        <f>F17+F19+F20</f>
        <v>10517254</v>
      </c>
      <c r="G22" s="401"/>
      <c r="H22" s="401"/>
      <c r="I22" s="402"/>
      <c r="J22" s="79"/>
      <c r="K22" s="378" t="str">
        <f t="shared" si="1"/>
        <v>5th EQUITY PAYMENT</v>
      </c>
      <c r="L22" s="378"/>
      <c r="M22" s="257">
        <f t="shared" ca="1" si="2"/>
        <v>46086</v>
      </c>
      <c r="N22" s="379">
        <f>IF(E29&gt;4,F29,0)</f>
        <v>171120.90000000002</v>
      </c>
      <c r="O22" s="379"/>
      <c r="P22" s="380"/>
      <c r="Q22" s="381"/>
      <c r="T22" s="396" t="s">
        <v>125</v>
      </c>
      <c r="U22" s="396"/>
      <c r="W22" s="257">
        <f t="shared" ca="1" si="3"/>
        <v>46086</v>
      </c>
      <c r="AX22" s="91"/>
    </row>
    <row r="23" spans="1:50" x14ac:dyDescent="0.3">
      <c r="A23" s="76"/>
      <c r="B23" s="150"/>
      <c r="C23" s="79"/>
      <c r="D23" s="88"/>
      <c r="E23" s="85"/>
      <c r="F23" s="259"/>
      <c r="G23" s="267"/>
      <c r="H23" s="267"/>
      <c r="I23" s="267"/>
      <c r="J23" s="79"/>
      <c r="K23" s="378" t="str">
        <f t="shared" si="1"/>
        <v>6th EQUITY PAYMENT</v>
      </c>
      <c r="L23" s="378"/>
      <c r="M23" s="257">
        <f t="shared" ca="1" si="2"/>
        <v>46117</v>
      </c>
      <c r="N23" s="379">
        <f>IF(E29&gt;5,F29,0)</f>
        <v>171120.90000000002</v>
      </c>
      <c r="O23" s="379"/>
      <c r="P23" s="380"/>
      <c r="Q23" s="381"/>
      <c r="T23" s="396" t="s">
        <v>126</v>
      </c>
      <c r="U23" s="396"/>
      <c r="W23" s="257">
        <f t="shared" ca="1" si="3"/>
        <v>46117</v>
      </c>
      <c r="AX23" s="91"/>
    </row>
    <row r="24" spans="1:50" x14ac:dyDescent="0.3">
      <c r="A24" s="76"/>
      <c r="B24" s="143" t="s">
        <v>127</v>
      </c>
      <c r="C24" s="71"/>
      <c r="D24" s="253" t="s">
        <v>102</v>
      </c>
      <c r="E24" s="268">
        <f>IF([3]FORM!I26="",[3]FORM!I24,[3]FORM!I26)</f>
        <v>0.2</v>
      </c>
      <c r="F24" s="400">
        <f>F22*E24</f>
        <v>2103450.8000000003</v>
      </c>
      <c r="G24" s="401"/>
      <c r="H24" s="401"/>
      <c r="I24" s="402"/>
      <c r="J24" s="79"/>
      <c r="K24" s="378" t="str">
        <f t="shared" si="1"/>
        <v>7th EQUITY PAYMENT</v>
      </c>
      <c r="L24" s="378"/>
      <c r="M24" s="257">
        <f t="shared" ca="1" si="2"/>
        <v>46147</v>
      </c>
      <c r="N24" s="379">
        <f>IF(E29&gt;6,F29,0)</f>
        <v>171120.90000000002</v>
      </c>
      <c r="O24" s="379"/>
      <c r="P24" s="380"/>
      <c r="Q24" s="381"/>
      <c r="T24" s="396" t="s">
        <v>128</v>
      </c>
      <c r="U24" s="396"/>
      <c r="W24" s="257">
        <f t="shared" ca="1" si="3"/>
        <v>46147</v>
      </c>
      <c r="AX24" s="91"/>
    </row>
    <row r="25" spans="1:50" x14ac:dyDescent="0.3">
      <c r="A25" s="76"/>
      <c r="B25" s="403" t="s">
        <v>129</v>
      </c>
      <c r="C25" s="403"/>
      <c r="D25" s="255" t="str">
        <f>D24</f>
        <v>:</v>
      </c>
      <c r="E25" s="269"/>
      <c r="F25" s="270">
        <v>0</v>
      </c>
      <c r="G25" s="270"/>
      <c r="H25" s="404"/>
      <c r="I25" s="405"/>
      <c r="J25" s="79"/>
      <c r="K25" s="378" t="str">
        <f t="shared" si="1"/>
        <v>8th EQUITY PAYMENT</v>
      </c>
      <c r="L25" s="378"/>
      <c r="M25" s="257">
        <f t="shared" ca="1" si="2"/>
        <v>46178</v>
      </c>
      <c r="N25" s="379">
        <f>IF(E29&gt;7,F29,0)</f>
        <v>171120.90000000002</v>
      </c>
      <c r="O25" s="379"/>
      <c r="P25" s="380"/>
      <c r="Q25" s="381"/>
      <c r="T25" s="396" t="s">
        <v>130</v>
      </c>
      <c r="U25" s="396"/>
      <c r="W25" s="257">
        <f t="shared" ca="1" si="3"/>
        <v>46178</v>
      </c>
      <c r="AX25" s="91"/>
    </row>
    <row r="26" spans="1:50" x14ac:dyDescent="0.3">
      <c r="A26" s="83"/>
      <c r="B26" s="126" t="s">
        <v>131</v>
      </c>
      <c r="C26" s="125"/>
      <c r="D26" s="88" t="s">
        <v>102</v>
      </c>
      <c r="E26" s="271"/>
      <c r="F26" s="272">
        <v>50000</v>
      </c>
      <c r="G26" s="273"/>
      <c r="H26" s="274"/>
      <c r="I26" s="275"/>
      <c r="J26" s="79"/>
      <c r="K26" s="378" t="str">
        <f t="shared" si="1"/>
        <v>9th EQUITY PAYMENT</v>
      </c>
      <c r="L26" s="378"/>
      <c r="M26" s="257">
        <f t="shared" ca="1" si="2"/>
        <v>46208</v>
      </c>
      <c r="N26" s="379">
        <f>IF(E29&gt;8,F29,0)</f>
        <v>171120.90000000002</v>
      </c>
      <c r="O26" s="379"/>
      <c r="P26" s="380"/>
      <c r="Q26" s="381"/>
      <c r="T26" s="396" t="s">
        <v>132</v>
      </c>
      <c r="U26" s="396"/>
      <c r="W26" s="257">
        <f t="shared" ca="1" si="3"/>
        <v>46208</v>
      </c>
      <c r="AX26" s="91"/>
    </row>
    <row r="27" spans="1:50" x14ac:dyDescent="0.3">
      <c r="A27" s="76"/>
      <c r="B27" s="148" t="s">
        <v>133</v>
      </c>
      <c r="C27" s="200"/>
      <c r="D27" s="85" t="s">
        <v>102</v>
      </c>
      <c r="E27" s="271"/>
      <c r="F27" s="400">
        <f>F24-F25-F26</f>
        <v>2053450.8000000003</v>
      </c>
      <c r="G27" s="401"/>
      <c r="H27" s="401"/>
      <c r="I27" s="402"/>
      <c r="J27" s="79"/>
      <c r="K27" s="378" t="str">
        <f t="shared" si="1"/>
        <v>10th EQUITY PAYMENT</v>
      </c>
      <c r="L27" s="378"/>
      <c r="M27" s="257">
        <f t="shared" ca="1" si="2"/>
        <v>46239</v>
      </c>
      <c r="N27" s="379">
        <f>IF(E29&gt;9,F29,0)</f>
        <v>171120.90000000002</v>
      </c>
      <c r="O27" s="379"/>
      <c r="P27" s="380"/>
      <c r="Q27" s="381"/>
      <c r="T27" s="396" t="s">
        <v>134</v>
      </c>
      <c r="U27" s="396"/>
      <c r="W27" s="257">
        <f t="shared" ca="1" si="3"/>
        <v>46239</v>
      </c>
      <c r="AX27" s="91"/>
    </row>
    <row r="28" spans="1:50" x14ac:dyDescent="0.3">
      <c r="A28" s="76"/>
      <c r="B28" s="150"/>
      <c r="C28" s="79"/>
      <c r="D28" s="88"/>
      <c r="E28" s="85"/>
      <c r="F28" s="259"/>
      <c r="G28" s="267"/>
      <c r="H28" s="267"/>
      <c r="I28" s="267"/>
      <c r="J28" s="79"/>
      <c r="K28" s="378" t="str">
        <f t="shared" si="1"/>
        <v>11th EQUITY PAYMENT</v>
      </c>
      <c r="L28" s="378"/>
      <c r="M28" s="257">
        <f t="shared" ca="1" si="2"/>
        <v>46270</v>
      </c>
      <c r="N28" s="379">
        <f>IF(E29&gt;10,F29,0)</f>
        <v>171120.90000000002</v>
      </c>
      <c r="O28" s="379"/>
      <c r="P28" s="380"/>
      <c r="Q28" s="381"/>
      <c r="T28" s="396" t="s">
        <v>135</v>
      </c>
      <c r="U28" s="396"/>
      <c r="W28" s="257">
        <f t="shared" ca="1" si="3"/>
        <v>46270</v>
      </c>
      <c r="AX28" s="91"/>
    </row>
    <row r="29" spans="1:50" x14ac:dyDescent="0.3">
      <c r="A29" s="276"/>
      <c r="B29" s="406" t="s">
        <v>136</v>
      </c>
      <c r="C29" s="406"/>
      <c r="D29" s="85" t="s">
        <v>102</v>
      </c>
      <c r="E29" s="277">
        <f>Pricelink!N26</f>
        <v>12</v>
      </c>
      <c r="F29" s="400">
        <f>F27/E29</f>
        <v>171120.90000000002</v>
      </c>
      <c r="G29" s="401"/>
      <c r="H29" s="401"/>
      <c r="I29" s="402"/>
      <c r="J29" s="79"/>
      <c r="K29" s="378" t="str">
        <f t="shared" si="1"/>
        <v>12th EQUITY PAYMENT</v>
      </c>
      <c r="L29" s="378"/>
      <c r="M29" s="257">
        <f t="shared" ca="1" si="2"/>
        <v>46300</v>
      </c>
      <c r="N29" s="407">
        <f>IF(E29&gt;11,F29,0)</f>
        <v>171120.90000000002</v>
      </c>
      <c r="O29" s="407"/>
      <c r="P29" s="380"/>
      <c r="Q29" s="381"/>
      <c r="T29" s="396" t="s">
        <v>137</v>
      </c>
      <c r="U29" s="396"/>
      <c r="W29" s="257">
        <f t="shared" ca="1" si="3"/>
        <v>46300</v>
      </c>
      <c r="AX29" s="91"/>
    </row>
    <row r="30" spans="1:50" x14ac:dyDescent="0.3">
      <c r="A30" s="76"/>
      <c r="B30" s="76"/>
      <c r="C30" s="249"/>
      <c r="D30" s="88"/>
      <c r="E30" s="278"/>
      <c r="F30" s="259"/>
      <c r="G30" s="259"/>
      <c r="H30" s="259"/>
      <c r="I30" s="259"/>
      <c r="J30" s="79"/>
      <c r="K30" s="408">
        <f t="shared" si="1"/>
        <v>0</v>
      </c>
      <c r="L30" s="408"/>
      <c r="M30" s="327" t="str">
        <f t="shared" si="2"/>
        <v/>
      </c>
      <c r="N30" s="409">
        <f>IF(E29&gt;12,F29,0)</f>
        <v>0</v>
      </c>
      <c r="O30" s="409"/>
      <c r="P30" s="380"/>
      <c r="Q30" s="381"/>
      <c r="T30" s="396" t="s">
        <v>138</v>
      </c>
      <c r="U30" s="396"/>
      <c r="W30" s="257">
        <f t="shared" ca="1" si="3"/>
        <v>46331</v>
      </c>
      <c r="AX30" s="91"/>
    </row>
    <row r="31" spans="1:50" x14ac:dyDescent="0.3">
      <c r="A31" s="76"/>
      <c r="B31" s="148" t="s">
        <v>139</v>
      </c>
      <c r="C31" s="148"/>
      <c r="D31" s="85" t="s">
        <v>102</v>
      </c>
      <c r="E31" s="279">
        <f>100%-E24</f>
        <v>0.8</v>
      </c>
      <c r="F31" s="400">
        <f>F22*E31</f>
        <v>8413803.2000000011</v>
      </c>
      <c r="G31" s="401"/>
      <c r="H31" s="401"/>
      <c r="I31" s="402"/>
      <c r="J31" s="79"/>
      <c r="K31" s="408">
        <f t="shared" si="1"/>
        <v>0</v>
      </c>
      <c r="L31" s="408"/>
      <c r="M31" s="327" t="str">
        <f t="shared" si="2"/>
        <v/>
      </c>
      <c r="N31" s="409">
        <f>IF(E29&gt;13,F29,0)</f>
        <v>0</v>
      </c>
      <c r="O31" s="409"/>
      <c r="P31" s="380"/>
      <c r="Q31" s="381"/>
      <c r="T31" s="396" t="s">
        <v>140</v>
      </c>
      <c r="U31" s="396"/>
      <c r="W31" s="257">
        <f t="shared" ca="1" si="3"/>
        <v>46361</v>
      </c>
      <c r="AX31" s="91"/>
    </row>
    <row r="32" spans="1:50" x14ac:dyDescent="0.3">
      <c r="A32" s="76"/>
      <c r="B32" s="76"/>
      <c r="C32" s="249"/>
      <c r="D32" s="278"/>
      <c r="E32" s="278"/>
      <c r="F32" s="278"/>
      <c r="G32" s="280"/>
      <c r="H32" s="280"/>
      <c r="I32" s="280"/>
      <c r="J32" s="170"/>
      <c r="K32" s="408">
        <f t="shared" si="1"/>
        <v>0</v>
      </c>
      <c r="L32" s="408"/>
      <c r="M32" s="327" t="str">
        <f t="shared" si="2"/>
        <v/>
      </c>
      <c r="N32" s="409">
        <f>IF(E29&gt;14,F29,0)</f>
        <v>0</v>
      </c>
      <c r="O32" s="409"/>
      <c r="P32" s="380"/>
      <c r="Q32" s="381"/>
      <c r="T32" s="396" t="s">
        <v>141</v>
      </c>
      <c r="U32" s="396"/>
      <c r="W32" s="257">
        <f t="shared" ca="1" si="3"/>
        <v>46392</v>
      </c>
      <c r="AX32" s="91"/>
    </row>
    <row r="33" spans="1:49" s="91" customFormat="1" x14ac:dyDescent="0.3">
      <c r="A33" s="76"/>
      <c r="B33" s="73" t="s">
        <v>142</v>
      </c>
      <c r="C33" s="180"/>
      <c r="D33" s="137"/>
      <c r="E33" s="281"/>
      <c r="F33" s="278"/>
      <c r="G33" s="280"/>
      <c r="H33" s="280"/>
      <c r="I33" s="280"/>
      <c r="J33" s="85"/>
      <c r="K33" s="408">
        <f t="shared" si="1"/>
        <v>0</v>
      </c>
      <c r="L33" s="408"/>
      <c r="M33" s="327" t="str">
        <f t="shared" si="2"/>
        <v/>
      </c>
      <c r="N33" s="409">
        <f>IF(E29&gt;15,F29,0)</f>
        <v>0</v>
      </c>
      <c r="O33" s="409"/>
      <c r="P33" s="380"/>
      <c r="Q33" s="381"/>
      <c r="T33" s="396" t="s">
        <v>143</v>
      </c>
      <c r="U33" s="396"/>
      <c r="W33" s="257">
        <f t="shared" ca="1" si="3"/>
        <v>46423</v>
      </c>
      <c r="AJ33" s="234"/>
      <c r="AW33" s="235"/>
    </row>
    <row r="34" spans="1:49" s="91" customFormat="1" x14ac:dyDescent="0.3">
      <c r="A34" s="76"/>
      <c r="B34" s="76"/>
      <c r="C34" s="249"/>
      <c r="D34" s="249"/>
      <c r="E34" s="282"/>
      <c r="F34" s="214"/>
      <c r="G34" s="214"/>
      <c r="H34" s="214"/>
      <c r="I34" s="214"/>
      <c r="J34" s="249"/>
      <c r="K34" s="408">
        <f t="shared" si="1"/>
        <v>0</v>
      </c>
      <c r="L34" s="408"/>
      <c r="M34" s="327" t="str">
        <f t="shared" si="2"/>
        <v/>
      </c>
      <c r="N34" s="409">
        <f>IF(E29&gt;16,F29,0)</f>
        <v>0</v>
      </c>
      <c r="O34" s="409"/>
      <c r="P34" s="380"/>
      <c r="Q34" s="381"/>
      <c r="T34" s="396" t="s">
        <v>144</v>
      </c>
      <c r="U34" s="396"/>
      <c r="W34" s="257">
        <f t="shared" ca="1" si="3"/>
        <v>46451</v>
      </c>
      <c r="AJ34" s="234"/>
      <c r="AW34" s="235"/>
    </row>
    <row r="35" spans="1:49" s="91" customFormat="1" x14ac:dyDescent="0.3">
      <c r="A35" s="76"/>
      <c r="B35" s="217" t="s">
        <v>145</v>
      </c>
      <c r="C35" s="217" t="s">
        <v>146</v>
      </c>
      <c r="D35" s="217" t="s">
        <v>147</v>
      </c>
      <c r="E35" s="217" t="s">
        <v>148</v>
      </c>
      <c r="F35" s="387" t="s">
        <v>149</v>
      </c>
      <c r="G35" s="387"/>
      <c r="H35" s="387"/>
      <c r="I35" s="387"/>
      <c r="J35" s="79"/>
      <c r="K35" s="408">
        <f t="shared" si="1"/>
        <v>0</v>
      </c>
      <c r="L35" s="408"/>
      <c r="M35" s="327" t="str">
        <f t="shared" si="2"/>
        <v/>
      </c>
      <c r="N35" s="409">
        <f>IF(E29&gt;17,F29,0)</f>
        <v>0</v>
      </c>
      <c r="O35" s="409"/>
      <c r="P35" s="380"/>
      <c r="Q35" s="381"/>
      <c r="T35" s="396" t="s">
        <v>150</v>
      </c>
      <c r="U35" s="396"/>
      <c r="W35" s="257">
        <f t="shared" ca="1" si="3"/>
        <v>46482</v>
      </c>
      <c r="AJ35" s="234"/>
      <c r="AW35" s="235"/>
    </row>
    <row r="36" spans="1:49" s="91" customFormat="1" x14ac:dyDescent="0.3">
      <c r="A36" s="76"/>
      <c r="B36" s="218">
        <v>5</v>
      </c>
      <c r="C36" s="219">
        <v>0.08</v>
      </c>
      <c r="D36" s="220">
        <f>PMT(C36/12,B36*12,-1)</f>
        <v>2.0276394288413678E-2</v>
      </c>
      <c r="E36" s="221">
        <f>F31*D36</f>
        <v>170601.59114831674</v>
      </c>
      <c r="F36" s="379">
        <f>E36/0.3</f>
        <v>568671.97049438918</v>
      </c>
      <c r="G36" s="379"/>
      <c r="H36" s="379"/>
      <c r="I36" s="379"/>
      <c r="J36" s="79"/>
      <c r="K36" s="408">
        <f t="shared" si="1"/>
        <v>0</v>
      </c>
      <c r="L36" s="408"/>
      <c r="M36" s="327" t="str">
        <f t="shared" si="2"/>
        <v/>
      </c>
      <c r="N36" s="409">
        <f>IF(E29&gt;18,F29,0)</f>
        <v>0</v>
      </c>
      <c r="O36" s="409"/>
      <c r="P36" s="380"/>
      <c r="Q36" s="381"/>
      <c r="T36" s="396" t="s">
        <v>151</v>
      </c>
      <c r="U36" s="396"/>
      <c r="W36" s="257">
        <f t="shared" ca="1" si="3"/>
        <v>46512</v>
      </c>
      <c r="AJ36" s="234"/>
      <c r="AW36" s="235"/>
    </row>
    <row r="37" spans="1:49" s="91" customFormat="1" x14ac:dyDescent="0.3">
      <c r="A37" s="76"/>
      <c r="B37" s="218">
        <v>10</v>
      </c>
      <c r="C37" s="219">
        <v>0.08</v>
      </c>
      <c r="D37" s="220">
        <f>PMT(C37/12,B37*12,-1)</f>
        <v>1.2132759435535692E-2</v>
      </c>
      <c r="E37" s="221">
        <f>F31*D37</f>
        <v>102082.65016354041</v>
      </c>
      <c r="F37" s="379">
        <f t="shared" ref="F37" si="4">E37/0.3</f>
        <v>340275.50054513471</v>
      </c>
      <c r="G37" s="379"/>
      <c r="H37" s="379"/>
      <c r="I37" s="379"/>
      <c r="J37" s="79"/>
      <c r="K37" s="408">
        <f t="shared" si="1"/>
        <v>0</v>
      </c>
      <c r="L37" s="408"/>
      <c r="M37" s="327" t="str">
        <f t="shared" si="2"/>
        <v/>
      </c>
      <c r="N37" s="409">
        <f>IF(E29&gt;19,F29,0)</f>
        <v>0</v>
      </c>
      <c r="O37" s="409"/>
      <c r="P37" s="380"/>
      <c r="Q37" s="381"/>
      <c r="T37" s="396" t="s">
        <v>152</v>
      </c>
      <c r="U37" s="396"/>
      <c r="W37" s="257">
        <f t="shared" ca="1" si="3"/>
        <v>46543</v>
      </c>
      <c r="AJ37" s="234"/>
      <c r="AW37" s="235"/>
    </row>
    <row r="38" spans="1:49" s="91" customFormat="1" x14ac:dyDescent="0.3">
      <c r="A38" s="76"/>
      <c r="B38" s="218">
        <v>15</v>
      </c>
      <c r="C38" s="219">
        <v>0.08</v>
      </c>
      <c r="D38" s="220">
        <f t="shared" ref="D38" si="5">PMT(C38/12,B38*12,-1)</f>
        <v>9.5565208433035145E-3</v>
      </c>
      <c r="E38" s="221">
        <f>F31*D38</f>
        <v>80406.685652253815</v>
      </c>
      <c r="F38" s="379">
        <f>E38/0.3</f>
        <v>268022.28550751274</v>
      </c>
      <c r="G38" s="379"/>
      <c r="H38" s="379"/>
      <c r="I38" s="379"/>
      <c r="J38" s="79"/>
      <c r="K38" s="408">
        <f t="shared" si="1"/>
        <v>0</v>
      </c>
      <c r="L38" s="408"/>
      <c r="M38" s="327" t="str">
        <f t="shared" si="2"/>
        <v/>
      </c>
      <c r="N38" s="409">
        <f>IF(E29&gt;20,F29,0)</f>
        <v>0</v>
      </c>
      <c r="O38" s="409"/>
      <c r="P38" s="380"/>
      <c r="Q38" s="381"/>
      <c r="T38" s="396" t="s">
        <v>153</v>
      </c>
      <c r="U38" s="396"/>
      <c r="W38" s="257">
        <f t="shared" ca="1" si="3"/>
        <v>46573</v>
      </c>
      <c r="AJ38" s="234"/>
      <c r="AW38" s="235"/>
    </row>
    <row r="39" spans="1:49" s="91" customFormat="1" x14ac:dyDescent="0.3">
      <c r="A39" s="76"/>
      <c r="B39" s="223" t="s">
        <v>154</v>
      </c>
      <c r="C39" s="283"/>
      <c r="D39" s="284"/>
      <c r="E39" s="285"/>
      <c r="F39" s="410"/>
      <c r="G39" s="410"/>
      <c r="H39" s="286"/>
      <c r="I39" s="76"/>
      <c r="J39" s="79"/>
      <c r="K39" s="408">
        <f t="shared" si="1"/>
        <v>0</v>
      </c>
      <c r="L39" s="408"/>
      <c r="M39" s="327" t="str">
        <f t="shared" si="2"/>
        <v/>
      </c>
      <c r="N39" s="409">
        <f>IF(E29&gt;21,F29,0)</f>
        <v>0</v>
      </c>
      <c r="O39" s="409"/>
      <c r="P39" s="380"/>
      <c r="Q39" s="381"/>
      <c r="T39" s="396" t="s">
        <v>155</v>
      </c>
      <c r="U39" s="396"/>
      <c r="W39" s="257">
        <f t="shared" ca="1" si="3"/>
        <v>46604</v>
      </c>
      <c r="AJ39" s="234"/>
      <c r="AW39" s="235"/>
    </row>
    <row r="40" spans="1:49" s="91" customFormat="1" x14ac:dyDescent="0.3">
      <c r="A40" s="76"/>
      <c r="B40" s="223" t="s">
        <v>156</v>
      </c>
      <c r="C40" s="225"/>
      <c r="D40" s="88"/>
      <c r="E40" s="76"/>
      <c r="F40" s="76"/>
      <c r="G40" s="76"/>
      <c r="H40" s="76"/>
      <c r="I40" s="76"/>
      <c r="J40" s="79"/>
      <c r="K40" s="408">
        <f t="shared" si="1"/>
        <v>0</v>
      </c>
      <c r="L40" s="408"/>
      <c r="M40" s="327" t="str">
        <f t="shared" si="2"/>
        <v/>
      </c>
      <c r="N40" s="409">
        <f>IF(E29&gt;22,F29,0)</f>
        <v>0</v>
      </c>
      <c r="O40" s="409"/>
      <c r="P40" s="380"/>
      <c r="Q40" s="381"/>
      <c r="T40" s="396" t="s">
        <v>157</v>
      </c>
      <c r="U40" s="396"/>
      <c r="W40" s="257">
        <f t="shared" ca="1" si="3"/>
        <v>46635</v>
      </c>
      <c r="AJ40" s="234"/>
      <c r="AN40" s="287">
        <v>3128865.99</v>
      </c>
      <c r="AW40" s="235"/>
    </row>
    <row r="41" spans="1:49" s="91" customFormat="1" x14ac:dyDescent="0.3">
      <c r="A41" s="76"/>
      <c r="B41" s="224" t="s">
        <v>158</v>
      </c>
      <c r="C41" s="76"/>
      <c r="D41" s="88"/>
      <c r="E41" s="76"/>
      <c r="F41" s="76"/>
      <c r="G41" s="76"/>
      <c r="H41" s="76"/>
      <c r="I41" s="76"/>
      <c r="J41" s="79"/>
      <c r="K41" s="408">
        <f t="shared" si="1"/>
        <v>0</v>
      </c>
      <c r="L41" s="408"/>
      <c r="M41" s="327" t="str">
        <f t="shared" si="2"/>
        <v/>
      </c>
      <c r="N41" s="409">
        <f>IF(E29&gt;24,F29,0)</f>
        <v>0</v>
      </c>
      <c r="O41" s="409"/>
      <c r="P41" s="380"/>
      <c r="Q41" s="381"/>
      <c r="T41" s="396" t="s">
        <v>159</v>
      </c>
      <c r="U41" s="396"/>
      <c r="W41" s="257">
        <f t="shared" ca="1" si="3"/>
        <v>46665</v>
      </c>
      <c r="AJ41" s="234"/>
      <c r="AW41" s="235"/>
    </row>
    <row r="42" spans="1:49" s="91" customFormat="1" x14ac:dyDescent="0.3">
      <c r="A42" s="76"/>
      <c r="B42" s="224" t="s">
        <v>160</v>
      </c>
      <c r="C42" s="225"/>
      <c r="D42" s="88"/>
      <c r="E42" s="76"/>
      <c r="F42" s="76"/>
      <c r="G42" s="76"/>
      <c r="H42" s="76"/>
      <c r="I42" s="76"/>
      <c r="J42" s="85"/>
      <c r="K42" s="408">
        <f t="shared" si="1"/>
        <v>0</v>
      </c>
      <c r="L42" s="408"/>
      <c r="M42" s="327" t="str">
        <f t="shared" si="2"/>
        <v/>
      </c>
      <c r="N42" s="409">
        <f>IF(E29&gt;24,F29,0)</f>
        <v>0</v>
      </c>
      <c r="O42" s="409"/>
      <c r="P42" s="380"/>
      <c r="Q42" s="381"/>
      <c r="T42" s="396" t="s">
        <v>161</v>
      </c>
      <c r="U42" s="396"/>
      <c r="W42" s="257">
        <f t="shared" ca="1" si="3"/>
        <v>46696</v>
      </c>
      <c r="AJ42" s="234"/>
      <c r="AW42" s="235"/>
    </row>
    <row r="43" spans="1:49" s="91" customFormat="1" hidden="1" x14ac:dyDescent="0.3">
      <c r="A43" s="76"/>
      <c r="B43" s="223"/>
      <c r="C43" s="76"/>
      <c r="D43" s="76"/>
      <c r="E43" s="76"/>
      <c r="F43" s="76"/>
      <c r="G43" s="76"/>
      <c r="H43" s="76"/>
      <c r="I43" s="76"/>
      <c r="J43" s="88"/>
      <c r="K43" s="378">
        <f t="shared" si="1"/>
        <v>0</v>
      </c>
      <c r="L43" s="378"/>
      <c r="M43" s="257" t="str">
        <f t="shared" si="2"/>
        <v/>
      </c>
      <c r="N43" s="407">
        <f>IF(E29&gt;25,F29,0)</f>
        <v>0</v>
      </c>
      <c r="O43" s="407"/>
      <c r="P43" s="380"/>
      <c r="Q43" s="381"/>
      <c r="T43" s="396" t="s">
        <v>162</v>
      </c>
      <c r="U43" s="396"/>
      <c r="W43" s="257">
        <f t="shared" ca="1" si="3"/>
        <v>46726</v>
      </c>
      <c r="AJ43" s="234"/>
      <c r="AW43" s="235"/>
    </row>
    <row r="44" spans="1:49" s="91" customFormat="1" hidden="1" x14ac:dyDescent="0.3">
      <c r="A44" s="76"/>
      <c r="B44" s="164" t="s">
        <v>163</v>
      </c>
      <c r="C44" s="164"/>
      <c r="D44" s="249"/>
      <c r="E44" s="249"/>
      <c r="F44" s="249"/>
      <c r="G44" s="249"/>
      <c r="H44" s="249"/>
      <c r="I44" s="249"/>
      <c r="J44" s="88"/>
      <c r="K44" s="378">
        <f t="shared" si="1"/>
        <v>0</v>
      </c>
      <c r="L44" s="378"/>
      <c r="M44" s="257" t="str">
        <f t="shared" si="2"/>
        <v/>
      </c>
      <c r="N44" s="407">
        <f>IF(E29&gt;26,F29,0)</f>
        <v>0</v>
      </c>
      <c r="O44" s="407"/>
      <c r="P44" s="380"/>
      <c r="Q44" s="381"/>
      <c r="T44" s="396" t="s">
        <v>164</v>
      </c>
      <c r="U44" s="396"/>
      <c r="W44" s="257">
        <f t="shared" ca="1" si="3"/>
        <v>46757</v>
      </c>
      <c r="AJ44" s="234"/>
      <c r="AW44" s="235"/>
    </row>
    <row r="45" spans="1:49" s="91" customFormat="1" hidden="1" x14ac:dyDescent="0.3">
      <c r="A45" s="76"/>
      <c r="B45" s="249"/>
      <c r="C45" s="249"/>
      <c r="D45" s="249"/>
      <c r="E45" s="249"/>
      <c r="F45" s="249"/>
      <c r="G45" s="249"/>
      <c r="H45" s="249"/>
      <c r="I45" s="249"/>
      <c r="J45" s="88"/>
      <c r="K45" s="378">
        <f t="shared" si="1"/>
        <v>0</v>
      </c>
      <c r="L45" s="378"/>
      <c r="M45" s="257" t="str">
        <f t="shared" si="2"/>
        <v/>
      </c>
      <c r="N45" s="407">
        <f>IF($E$29&gt;27,$F$29,0)</f>
        <v>0</v>
      </c>
      <c r="O45" s="407"/>
      <c r="P45" s="380"/>
      <c r="Q45" s="381"/>
      <c r="T45" s="396" t="s">
        <v>165</v>
      </c>
      <c r="U45" s="396"/>
      <c r="W45" s="257">
        <f t="shared" ca="1" si="3"/>
        <v>46788</v>
      </c>
      <c r="AJ45" s="234"/>
      <c r="AW45" s="235"/>
    </row>
    <row r="46" spans="1:49" s="91" customFormat="1" hidden="1" x14ac:dyDescent="0.3">
      <c r="A46" s="76"/>
      <c r="B46" s="411"/>
      <c r="C46" s="411"/>
      <c r="D46" s="411"/>
      <c r="E46" s="411"/>
      <c r="F46" s="411"/>
      <c r="G46" s="411"/>
      <c r="H46" s="411"/>
      <c r="I46" s="411"/>
      <c r="J46" s="88"/>
      <c r="K46" s="378">
        <f t="shared" si="1"/>
        <v>0</v>
      </c>
      <c r="L46" s="378"/>
      <c r="M46" s="257" t="str">
        <f t="shared" si="2"/>
        <v/>
      </c>
      <c r="N46" s="407">
        <f>IF($E$29&gt;28,$F$29,0)</f>
        <v>0</v>
      </c>
      <c r="O46" s="407"/>
      <c r="P46" s="380"/>
      <c r="Q46" s="381"/>
      <c r="T46" s="396" t="s">
        <v>166</v>
      </c>
      <c r="U46" s="396"/>
      <c r="W46" s="257">
        <f t="shared" ca="1" si="3"/>
        <v>46817</v>
      </c>
    </row>
    <row r="47" spans="1:49" s="91" customFormat="1" hidden="1" x14ac:dyDescent="0.3">
      <c r="A47" s="76"/>
      <c r="B47" s="413"/>
      <c r="C47" s="413"/>
      <c r="D47" s="413"/>
      <c r="E47" s="413"/>
      <c r="F47" s="413"/>
      <c r="G47" s="414"/>
      <c r="H47" s="414"/>
      <c r="I47" s="414"/>
      <c r="J47" s="85"/>
      <c r="K47" s="378">
        <f t="shared" si="1"/>
        <v>0</v>
      </c>
      <c r="L47" s="378"/>
      <c r="M47" s="257" t="str">
        <f t="shared" si="2"/>
        <v/>
      </c>
      <c r="N47" s="407">
        <f>IF($E$29&gt;29,$F$29,0)</f>
        <v>0</v>
      </c>
      <c r="O47" s="407"/>
      <c r="P47" s="380"/>
      <c r="Q47" s="381"/>
      <c r="T47" s="396" t="s">
        <v>167</v>
      </c>
      <c r="U47" s="396"/>
      <c r="W47" s="257">
        <f t="shared" ca="1" si="3"/>
        <v>46848</v>
      </c>
    </row>
    <row r="48" spans="1:49" s="91" customFormat="1" ht="15" hidden="1" customHeight="1" x14ac:dyDescent="0.3">
      <c r="A48" s="76"/>
      <c r="B48" s="413"/>
      <c r="C48" s="413"/>
      <c r="D48" s="413"/>
      <c r="E48" s="413"/>
      <c r="F48" s="413"/>
      <c r="G48" s="414"/>
      <c r="H48" s="414"/>
      <c r="I48" s="414"/>
      <c r="J48" s="85"/>
      <c r="K48" s="378">
        <f t="shared" si="1"/>
        <v>0</v>
      </c>
      <c r="L48" s="378"/>
      <c r="M48" s="257" t="str">
        <f t="shared" si="2"/>
        <v/>
      </c>
      <c r="N48" s="407">
        <f>IF($E$29&gt;30,$F$29,0)</f>
        <v>0</v>
      </c>
      <c r="O48" s="407"/>
      <c r="P48" s="380"/>
      <c r="Q48" s="381"/>
      <c r="T48" s="412" t="s">
        <v>168</v>
      </c>
      <c r="U48" s="412"/>
      <c r="W48" s="257">
        <f t="shared" ca="1" si="3"/>
        <v>46878</v>
      </c>
    </row>
    <row r="49" spans="1:23" s="91" customFormat="1" hidden="1" x14ac:dyDescent="0.3">
      <c r="A49" s="76"/>
      <c r="B49" s="413"/>
      <c r="C49" s="413"/>
      <c r="D49" s="413"/>
      <c r="E49" s="413"/>
      <c r="F49" s="413"/>
      <c r="G49" s="414"/>
      <c r="H49" s="414"/>
      <c r="I49" s="414"/>
      <c r="J49" s="214"/>
      <c r="K49" s="378">
        <f t="shared" si="1"/>
        <v>0</v>
      </c>
      <c r="L49" s="378"/>
      <c r="M49" s="257" t="str">
        <f t="shared" si="2"/>
        <v/>
      </c>
      <c r="N49" s="407">
        <f>IF($E$29&gt;31,$F$29,0)</f>
        <v>0</v>
      </c>
      <c r="O49" s="407"/>
      <c r="P49" s="380"/>
      <c r="Q49" s="381"/>
      <c r="T49" s="412" t="s">
        <v>169</v>
      </c>
      <c r="U49" s="412"/>
      <c r="W49" s="257">
        <f t="shared" ca="1" si="3"/>
        <v>46909</v>
      </c>
    </row>
    <row r="50" spans="1:23" s="91" customFormat="1" ht="15" hidden="1" customHeight="1" x14ac:dyDescent="0.3">
      <c r="A50" s="76"/>
      <c r="B50" s="413"/>
      <c r="C50" s="413"/>
      <c r="D50" s="413"/>
      <c r="E50" s="413"/>
      <c r="F50" s="413"/>
      <c r="G50" s="414"/>
      <c r="H50" s="414"/>
      <c r="I50" s="414"/>
      <c r="J50" s="214"/>
      <c r="K50" s="378">
        <f t="shared" si="1"/>
        <v>0</v>
      </c>
      <c r="L50" s="378"/>
      <c r="M50" s="257" t="str">
        <f t="shared" si="2"/>
        <v/>
      </c>
      <c r="N50" s="407">
        <f>IF($E$29&gt;32,$F$29,0)</f>
        <v>0</v>
      </c>
      <c r="O50" s="407"/>
      <c r="P50" s="380"/>
      <c r="Q50" s="381"/>
      <c r="T50" s="396" t="s">
        <v>170</v>
      </c>
      <c r="U50" s="396"/>
      <c r="W50" s="257">
        <f t="shared" ca="1" si="3"/>
        <v>46939</v>
      </c>
    </row>
    <row r="51" spans="1:23" s="91" customFormat="1" hidden="1" x14ac:dyDescent="0.3">
      <c r="A51" s="76"/>
      <c r="B51" s="413"/>
      <c r="C51" s="413"/>
      <c r="D51" s="413"/>
      <c r="E51" s="413"/>
      <c r="F51" s="413"/>
      <c r="G51" s="414"/>
      <c r="H51" s="414"/>
      <c r="I51" s="414"/>
      <c r="J51" s="214"/>
      <c r="K51" s="378">
        <f t="shared" si="1"/>
        <v>0</v>
      </c>
      <c r="L51" s="378"/>
      <c r="M51" s="257" t="str">
        <f t="shared" si="2"/>
        <v/>
      </c>
      <c r="N51" s="407">
        <f>IF($E$29&gt;33,$F$29,0)</f>
        <v>0</v>
      </c>
      <c r="O51" s="407"/>
      <c r="P51" s="380"/>
      <c r="Q51" s="381"/>
      <c r="T51" s="396" t="s">
        <v>171</v>
      </c>
      <c r="U51" s="396"/>
      <c r="W51" s="257">
        <f t="shared" ca="1" si="3"/>
        <v>46970</v>
      </c>
    </row>
    <row r="52" spans="1:23" s="91" customFormat="1" ht="15" hidden="1" customHeight="1" x14ac:dyDescent="0.3">
      <c r="A52" s="76"/>
      <c r="B52" s="413"/>
      <c r="C52" s="413"/>
      <c r="D52" s="413"/>
      <c r="E52" s="413"/>
      <c r="F52" s="413"/>
      <c r="G52" s="414"/>
      <c r="H52" s="414"/>
      <c r="I52" s="414"/>
      <c r="J52" s="76"/>
      <c r="K52" s="378">
        <f t="shared" si="1"/>
        <v>0</v>
      </c>
      <c r="L52" s="378"/>
      <c r="M52" s="257" t="str">
        <f t="shared" si="2"/>
        <v/>
      </c>
      <c r="N52" s="407">
        <f>IF($E$29&gt;34,$F$29,0)</f>
        <v>0</v>
      </c>
      <c r="O52" s="407"/>
      <c r="P52" s="380"/>
      <c r="Q52" s="381"/>
      <c r="T52" s="396" t="s">
        <v>172</v>
      </c>
      <c r="U52" s="396"/>
      <c r="W52" s="257">
        <f t="shared" ca="1" si="3"/>
        <v>47001</v>
      </c>
    </row>
    <row r="53" spans="1:23" s="91" customFormat="1" hidden="1" x14ac:dyDescent="0.3">
      <c r="A53" s="76"/>
      <c r="B53" s="413"/>
      <c r="C53" s="413"/>
      <c r="D53" s="413"/>
      <c r="E53" s="413"/>
      <c r="F53" s="413"/>
      <c r="G53" s="414"/>
      <c r="H53" s="414"/>
      <c r="I53" s="414"/>
      <c r="J53" s="76"/>
      <c r="K53" s="378">
        <f t="shared" si="1"/>
        <v>0</v>
      </c>
      <c r="L53" s="378"/>
      <c r="M53" s="257" t="str">
        <f t="shared" si="2"/>
        <v/>
      </c>
      <c r="N53" s="407">
        <f>IF($E$29&gt;35,$F$29,0)</f>
        <v>0</v>
      </c>
      <c r="O53" s="407"/>
      <c r="P53" s="380"/>
      <c r="Q53" s="381"/>
      <c r="T53" s="396" t="s">
        <v>173</v>
      </c>
      <c r="U53" s="396"/>
      <c r="W53" s="257">
        <f t="shared" ca="1" si="3"/>
        <v>47031</v>
      </c>
    </row>
    <row r="54" spans="1:23" s="91" customFormat="1" ht="15" hidden="1" customHeight="1" x14ac:dyDescent="0.3">
      <c r="A54" s="76"/>
      <c r="B54" s="413"/>
      <c r="C54" s="413"/>
      <c r="D54" s="413"/>
      <c r="E54" s="413"/>
      <c r="F54" s="413"/>
      <c r="G54" s="414"/>
      <c r="H54" s="414"/>
      <c r="I54" s="414"/>
      <c r="J54" s="76"/>
      <c r="K54" s="378">
        <f t="shared" si="1"/>
        <v>0</v>
      </c>
      <c r="L54" s="378"/>
      <c r="M54" s="257" t="str">
        <f t="shared" si="2"/>
        <v/>
      </c>
      <c r="N54" s="407">
        <f>IF($E$29&gt;36,$F$29,0)</f>
        <v>0</v>
      </c>
      <c r="O54" s="407"/>
      <c r="P54" s="380"/>
      <c r="Q54" s="381"/>
      <c r="T54" s="396" t="s">
        <v>174</v>
      </c>
      <c r="U54" s="396"/>
      <c r="W54" s="257">
        <f ca="1">IF(AND(DAY(W53)&gt;=6,DAY(W53)&lt;=20),DATE(YEAR(W53),MONTH(W53)+1,DAY(20)),IF(AND(DAY(W53)&gt;=21,DAY(W53)&lt;=30),DATE(YEAR(W53),MONTH(W53)+1,IF(DAY(EOMONTH(W53,1))&lt;30,DAY(EOMONTH(W53,1)),DAY(30))),DATE(YEAR(W53),MONTH(W53)+1,DAY(5))))</f>
        <v>47062</v>
      </c>
    </row>
    <row r="55" spans="1:23" s="91" customFormat="1" hidden="1" x14ac:dyDescent="0.3">
      <c r="A55" s="76"/>
      <c r="B55" s="413"/>
      <c r="C55" s="413"/>
      <c r="D55" s="413"/>
      <c r="E55" s="413"/>
      <c r="F55" s="413"/>
      <c r="G55" s="414"/>
      <c r="H55" s="414"/>
      <c r="I55" s="414"/>
      <c r="J55" s="76"/>
      <c r="K55" s="378">
        <f t="shared" si="1"/>
        <v>0</v>
      </c>
      <c r="L55" s="378"/>
      <c r="M55" s="257" t="str">
        <f t="shared" si="2"/>
        <v/>
      </c>
      <c r="N55" s="407">
        <f>IF($E$29&gt;37,$F$29,0)</f>
        <v>0</v>
      </c>
      <c r="O55" s="407"/>
      <c r="P55" s="380"/>
      <c r="Q55" s="381"/>
      <c r="T55" s="396" t="s">
        <v>175</v>
      </c>
      <c r="U55" s="396"/>
      <c r="W55" s="257">
        <f t="shared" ca="1" si="3"/>
        <v>47092</v>
      </c>
    </row>
    <row r="56" spans="1:23" s="91" customFormat="1" ht="15" hidden="1" customHeight="1" x14ac:dyDescent="0.3">
      <c r="A56" s="76"/>
      <c r="B56" s="413"/>
      <c r="C56" s="413"/>
      <c r="D56" s="413"/>
      <c r="E56" s="413"/>
      <c r="F56" s="413"/>
      <c r="G56" s="414"/>
      <c r="H56" s="414"/>
      <c r="I56" s="414"/>
      <c r="J56" s="76"/>
      <c r="K56" s="378">
        <f t="shared" si="1"/>
        <v>0</v>
      </c>
      <c r="L56" s="378"/>
      <c r="M56" s="257" t="str">
        <f t="shared" si="2"/>
        <v/>
      </c>
      <c r="N56" s="407">
        <f>IF($E$29&gt;38,$F$29,0)</f>
        <v>0</v>
      </c>
      <c r="O56" s="407"/>
      <c r="P56" s="380"/>
      <c r="Q56" s="381"/>
      <c r="T56" s="396" t="s">
        <v>176</v>
      </c>
      <c r="U56" s="396"/>
      <c r="W56" s="257">
        <f t="shared" ca="1" si="3"/>
        <v>47123</v>
      </c>
    </row>
    <row r="57" spans="1:23" s="91" customFormat="1" hidden="1" x14ac:dyDescent="0.3">
      <c r="A57" s="76"/>
      <c r="B57" s="413"/>
      <c r="C57" s="413"/>
      <c r="D57" s="413"/>
      <c r="E57" s="413"/>
      <c r="F57" s="413"/>
      <c r="G57" s="414"/>
      <c r="H57" s="414"/>
      <c r="I57" s="414"/>
      <c r="J57" s="214"/>
      <c r="K57" s="378">
        <f t="shared" si="1"/>
        <v>0</v>
      </c>
      <c r="L57" s="378"/>
      <c r="M57" s="257" t="str">
        <f t="shared" si="2"/>
        <v/>
      </c>
      <c r="N57" s="407">
        <f>IF($E$29&gt;39,$F$29,0)</f>
        <v>0</v>
      </c>
      <c r="O57" s="407"/>
      <c r="P57" s="380"/>
      <c r="Q57" s="381"/>
      <c r="T57" s="396" t="s">
        <v>177</v>
      </c>
      <c r="U57" s="396"/>
      <c r="W57" s="257">
        <f t="shared" ca="1" si="3"/>
        <v>47154</v>
      </c>
    </row>
    <row r="58" spans="1:23" s="91" customFormat="1" ht="12.75" hidden="1" customHeight="1" x14ac:dyDescent="0.3">
      <c r="A58" s="76"/>
      <c r="B58" s="413"/>
      <c r="C58" s="413"/>
      <c r="D58" s="413"/>
      <c r="E58" s="413"/>
      <c r="F58" s="413"/>
      <c r="G58" s="414"/>
      <c r="H58" s="414"/>
      <c r="I58" s="414"/>
      <c r="J58" s="214"/>
      <c r="K58" s="378">
        <f t="shared" si="1"/>
        <v>0</v>
      </c>
      <c r="L58" s="378"/>
      <c r="M58" s="257" t="str">
        <f t="shared" si="2"/>
        <v/>
      </c>
      <c r="N58" s="407">
        <f>IF($E$29&gt;40,$F$29,0)</f>
        <v>0</v>
      </c>
      <c r="O58" s="407"/>
      <c r="P58" s="380"/>
      <c r="Q58" s="381"/>
      <c r="T58" s="396" t="s">
        <v>178</v>
      </c>
      <c r="U58" s="396"/>
      <c r="W58" s="257">
        <f t="shared" ca="1" si="3"/>
        <v>47182</v>
      </c>
    </row>
    <row r="59" spans="1:23" s="91" customFormat="1" hidden="1" x14ac:dyDescent="0.3">
      <c r="A59" s="76"/>
      <c r="B59" s="223"/>
      <c r="C59" s="76"/>
      <c r="D59" s="76"/>
      <c r="E59" s="76"/>
      <c r="F59" s="76"/>
      <c r="G59" s="76"/>
      <c r="H59" s="76"/>
      <c r="I59" s="76"/>
      <c r="J59" s="214"/>
      <c r="K59" s="378">
        <f t="shared" si="1"/>
        <v>0</v>
      </c>
      <c r="L59" s="378"/>
      <c r="M59" s="257" t="str">
        <f t="shared" si="2"/>
        <v/>
      </c>
      <c r="N59" s="407">
        <f>IF($E$29&gt;41,$F$29,0)</f>
        <v>0</v>
      </c>
      <c r="O59" s="407"/>
      <c r="P59" s="380"/>
      <c r="Q59" s="381"/>
      <c r="T59" s="396" t="s">
        <v>179</v>
      </c>
      <c r="U59" s="396"/>
      <c r="W59" s="257">
        <f t="shared" ca="1" si="3"/>
        <v>47213</v>
      </c>
    </row>
    <row r="60" spans="1:23" s="91" customFormat="1" hidden="1" x14ac:dyDescent="0.3">
      <c r="A60" s="76"/>
      <c r="C60" s="288"/>
      <c r="D60" s="417"/>
      <c r="E60" s="417"/>
      <c r="F60" s="417"/>
      <c r="G60" s="76"/>
      <c r="H60" s="76"/>
      <c r="I60" s="76"/>
      <c r="J60" s="214"/>
      <c r="K60" s="378">
        <f t="shared" si="1"/>
        <v>0</v>
      </c>
      <c r="L60" s="378"/>
      <c r="M60" s="257" t="str">
        <f t="shared" si="2"/>
        <v/>
      </c>
      <c r="N60" s="407">
        <f>IF($E$29&gt;42,$F$29,0)</f>
        <v>0</v>
      </c>
      <c r="O60" s="407"/>
      <c r="P60" s="380"/>
      <c r="Q60" s="381"/>
      <c r="T60" s="396" t="s">
        <v>180</v>
      </c>
      <c r="U60" s="396"/>
      <c r="W60" s="257">
        <f t="shared" ca="1" si="3"/>
        <v>47243</v>
      </c>
    </row>
    <row r="61" spans="1:23" s="91" customFormat="1" hidden="1" x14ac:dyDescent="0.3">
      <c r="A61" s="76"/>
      <c r="B61" s="288"/>
      <c r="C61" s="76"/>
      <c r="D61" s="289"/>
      <c r="E61" s="289"/>
      <c r="F61" s="76"/>
      <c r="G61" s="76"/>
      <c r="H61" s="76"/>
      <c r="I61" s="76"/>
      <c r="J61" s="214"/>
      <c r="K61" s="378">
        <f t="shared" si="1"/>
        <v>0</v>
      </c>
      <c r="L61" s="378"/>
      <c r="M61" s="257" t="str">
        <f t="shared" si="2"/>
        <v/>
      </c>
      <c r="N61" s="407">
        <f>IF($E$29&gt;43,$F$29,0)</f>
        <v>0</v>
      </c>
      <c r="O61" s="407"/>
      <c r="P61" s="380"/>
      <c r="Q61" s="381"/>
      <c r="T61" s="396" t="s">
        <v>181</v>
      </c>
      <c r="U61" s="396"/>
      <c r="W61" s="257">
        <f t="shared" ca="1" si="3"/>
        <v>47274</v>
      </c>
    </row>
    <row r="62" spans="1:23" s="91" customFormat="1" hidden="1" x14ac:dyDescent="0.3">
      <c r="A62" s="76"/>
      <c r="B62" s="288"/>
      <c r="C62" s="76"/>
      <c r="D62" s="289"/>
      <c r="E62" s="289"/>
      <c r="F62" s="76"/>
      <c r="G62" s="76"/>
      <c r="H62" s="76"/>
      <c r="I62" s="76"/>
      <c r="J62" s="214"/>
      <c r="K62" s="378">
        <f t="shared" si="1"/>
        <v>0</v>
      </c>
      <c r="L62" s="378"/>
      <c r="M62" s="257" t="str">
        <f t="shared" si="2"/>
        <v/>
      </c>
      <c r="N62" s="407">
        <f>IF($E$29&gt;44,$F$29,0)</f>
        <v>0</v>
      </c>
      <c r="O62" s="407"/>
      <c r="P62" s="127"/>
      <c r="Q62" s="127"/>
      <c r="T62" s="396" t="s">
        <v>182</v>
      </c>
      <c r="U62" s="396"/>
      <c r="W62" s="257">
        <f ca="1">IF(AND(DAY(W61)&gt;=6,DAY(W61)&lt;=20),DATE(YEAR(W61),MONTH(W61)+1,DAY(20)),IF(AND(DAY(W61)&gt;=21,DAY(W61)&lt;=30),DATE(YEAR(W61),MONTH(W61)+1,IF(DAY(EOMONTH(W61,1))&lt;30,DAY(EOMONTH(W61,1)),DAY(30))),DATE(YEAR(W61),MONTH(W61)+1,DAY(5))))</f>
        <v>47304</v>
      </c>
    </row>
    <row r="63" spans="1:23" s="91" customFormat="1" hidden="1" x14ac:dyDescent="0.3">
      <c r="A63" s="76"/>
      <c r="B63" s="288"/>
      <c r="C63" s="76"/>
      <c r="D63" s="289"/>
      <c r="E63" s="289"/>
      <c r="F63" s="76"/>
      <c r="G63" s="76"/>
      <c r="H63" s="76"/>
      <c r="I63" s="76"/>
      <c r="J63" s="214"/>
      <c r="K63" s="380">
        <f t="shared" si="1"/>
        <v>0</v>
      </c>
      <c r="L63" s="381"/>
      <c r="M63" s="257" t="str">
        <f t="shared" si="2"/>
        <v/>
      </c>
      <c r="N63" s="415">
        <f>IF($E$29&gt;45,$F$29,0)</f>
        <v>0</v>
      </c>
      <c r="O63" s="416"/>
      <c r="P63" s="127"/>
      <c r="Q63" s="127"/>
      <c r="T63" s="396" t="s">
        <v>183</v>
      </c>
      <c r="U63" s="396"/>
    </row>
    <row r="64" spans="1:23" s="91" customFormat="1" x14ac:dyDescent="0.3">
      <c r="A64" s="76"/>
      <c r="B64" s="288"/>
      <c r="C64" s="76"/>
      <c r="D64" s="289"/>
      <c r="E64" s="289"/>
      <c r="F64" s="76"/>
      <c r="G64" s="76"/>
      <c r="H64" s="76"/>
      <c r="I64" s="76"/>
      <c r="J64" s="214"/>
      <c r="K64" s="424" t="s">
        <v>184</v>
      </c>
      <c r="L64" s="424"/>
      <c r="M64" s="290">
        <f ca="1">IF(DAY(W17)=31,Y19,AA19)</f>
        <v>46331</v>
      </c>
      <c r="N64" s="425">
        <f>F31</f>
        <v>8413803.2000000011</v>
      </c>
      <c r="O64" s="425"/>
      <c r="P64" s="426"/>
      <c r="Q64" s="427"/>
    </row>
    <row r="65" spans="1:17" s="91" customFormat="1" x14ac:dyDescent="0.3">
      <c r="A65" s="76"/>
      <c r="B65" s="288"/>
      <c r="C65" s="76"/>
      <c r="D65" s="289"/>
      <c r="E65" s="289"/>
      <c r="F65" s="76"/>
      <c r="G65" s="76"/>
      <c r="H65" s="76"/>
      <c r="I65" s="76"/>
      <c r="J65" s="214"/>
      <c r="K65" s="428"/>
      <c r="L65" s="428"/>
      <c r="M65" s="210"/>
      <c r="N65" s="429"/>
      <c r="O65" s="429"/>
      <c r="P65" s="291"/>
      <c r="Q65" s="79"/>
    </row>
    <row r="66" spans="1:17" s="91" customFormat="1" x14ac:dyDescent="0.3">
      <c r="A66" s="76"/>
      <c r="J66" s="214"/>
      <c r="L66" s="93"/>
    </row>
    <row r="67" spans="1:17" s="91" customFormat="1" ht="12" customHeight="1" x14ac:dyDescent="0.3">
      <c r="A67" s="76"/>
      <c r="B67" s="79" t="s">
        <v>185</v>
      </c>
      <c r="C67" s="76"/>
      <c r="D67" s="76"/>
      <c r="E67" s="76"/>
      <c r="F67" s="79" t="s">
        <v>186</v>
      </c>
      <c r="G67" s="76"/>
      <c r="H67" s="76"/>
      <c r="I67" s="76"/>
      <c r="J67" s="214"/>
      <c r="K67" s="79" t="s">
        <v>185</v>
      </c>
      <c r="L67" s="76"/>
      <c r="M67" s="76"/>
      <c r="N67" s="76"/>
      <c r="O67" s="79" t="s">
        <v>186</v>
      </c>
      <c r="P67" s="76"/>
      <c r="Q67" s="76"/>
    </row>
    <row r="68" spans="1:17" s="91" customFormat="1" ht="12" customHeight="1" x14ac:dyDescent="0.3">
      <c r="A68" s="76"/>
      <c r="B68" s="76"/>
      <c r="C68" s="76"/>
      <c r="D68" s="88"/>
      <c r="E68" s="76"/>
      <c r="F68" s="76"/>
      <c r="G68" s="76"/>
      <c r="H68" s="76"/>
      <c r="I68" s="76"/>
      <c r="J68" s="214"/>
      <c r="K68" s="76"/>
      <c r="L68" s="76"/>
      <c r="M68" s="88"/>
      <c r="N68" s="76"/>
      <c r="O68" s="76"/>
      <c r="P68" s="76"/>
      <c r="Q68" s="76"/>
    </row>
    <row r="69" spans="1:17" s="91" customFormat="1" ht="12" customHeight="1" x14ac:dyDescent="0.3">
      <c r="A69" s="76"/>
      <c r="B69" s="76"/>
      <c r="C69" s="76"/>
      <c r="D69" s="88"/>
      <c r="E69" s="76"/>
      <c r="F69" s="76"/>
      <c r="G69" s="76"/>
      <c r="H69" s="76"/>
      <c r="I69" s="76"/>
      <c r="J69" s="214"/>
      <c r="K69" s="76"/>
      <c r="L69" s="76"/>
      <c r="M69" s="88"/>
      <c r="N69" s="76"/>
      <c r="O69" s="76"/>
      <c r="P69" s="76"/>
      <c r="Q69" s="76"/>
    </row>
    <row r="70" spans="1:17" s="91" customFormat="1" ht="12" customHeight="1" x14ac:dyDescent="0.3">
      <c r="A70" s="76"/>
      <c r="B70" s="420"/>
      <c r="C70" s="420"/>
      <c r="D70" s="420"/>
      <c r="E70" s="79"/>
      <c r="F70" s="292">
        <f>[3]FORM!I28</f>
        <v>0</v>
      </c>
      <c r="G70" s="292"/>
      <c r="H70" s="292"/>
      <c r="I70" s="292"/>
      <c r="J70" s="214"/>
      <c r="K70" s="420">
        <f>B70</f>
        <v>0</v>
      </c>
      <c r="L70" s="420"/>
      <c r="M70" s="420"/>
      <c r="N70" s="79"/>
      <c r="O70" s="421"/>
      <c r="P70" s="421"/>
      <c r="Q70" s="421"/>
    </row>
    <row r="71" spans="1:17" s="91" customFormat="1" ht="12" customHeight="1" x14ac:dyDescent="0.3">
      <c r="A71" s="76"/>
      <c r="B71" s="90" t="s">
        <v>187</v>
      </c>
      <c r="C71" s="293"/>
      <c r="D71" s="293"/>
      <c r="E71" s="76"/>
      <c r="F71" s="294" t="s">
        <v>188</v>
      </c>
      <c r="G71" s="294"/>
      <c r="H71" s="294"/>
      <c r="I71" s="89"/>
      <c r="J71" s="214"/>
      <c r="K71" s="90" t="s">
        <v>187</v>
      </c>
      <c r="L71" s="422"/>
      <c r="M71" s="422"/>
      <c r="N71" s="76"/>
      <c r="O71" s="423" t="s">
        <v>188</v>
      </c>
      <c r="P71" s="423"/>
      <c r="Q71" s="423"/>
    </row>
    <row r="72" spans="1:17" s="91" customFormat="1" ht="12" customHeight="1" x14ac:dyDescent="0.3">
      <c r="A72" s="76"/>
      <c r="B72" s="223"/>
      <c r="C72" s="76"/>
      <c r="D72" s="76"/>
      <c r="E72" s="76"/>
      <c r="F72" s="76"/>
      <c r="G72" s="76"/>
      <c r="H72" s="76"/>
      <c r="I72" s="76"/>
      <c r="J72" s="214"/>
    </row>
    <row r="73" spans="1:17" s="91" customFormat="1" ht="12" customHeight="1" x14ac:dyDescent="0.3">
      <c r="A73" s="76"/>
      <c r="B73" s="223"/>
      <c r="C73" s="76"/>
      <c r="D73" s="76"/>
      <c r="E73" s="76"/>
      <c r="F73" s="76"/>
      <c r="G73" s="76"/>
      <c r="H73" s="76"/>
      <c r="I73" s="76"/>
      <c r="J73" s="214"/>
      <c r="K73" s="157"/>
      <c r="L73" s="76"/>
      <c r="M73" s="78"/>
      <c r="N73" s="76"/>
      <c r="O73" s="76"/>
      <c r="P73" s="76"/>
      <c r="Q73" s="76"/>
    </row>
    <row r="74" spans="1:17" s="91" customFormat="1" ht="12" customHeight="1" x14ac:dyDescent="0.3">
      <c r="A74" s="76"/>
      <c r="B74" s="223"/>
      <c r="C74" s="76"/>
      <c r="D74" s="76"/>
      <c r="E74" s="76"/>
      <c r="F74" s="76"/>
      <c r="G74" s="76"/>
      <c r="H74" s="76"/>
      <c r="I74" s="76"/>
      <c r="J74" s="214"/>
      <c r="K74" s="157"/>
      <c r="L74" s="76"/>
      <c r="M74" s="78"/>
      <c r="N74" s="76"/>
      <c r="O74" s="76"/>
      <c r="P74" s="76"/>
      <c r="Q74" s="76"/>
    </row>
    <row r="75" spans="1:17" s="91" customFormat="1" ht="12" customHeight="1" x14ac:dyDescent="0.3">
      <c r="A75" s="76"/>
      <c r="B75" s="223"/>
      <c r="C75" s="76"/>
      <c r="D75" s="76"/>
      <c r="E75" s="76"/>
      <c r="F75" s="76"/>
      <c r="G75" s="76"/>
      <c r="H75" s="76"/>
      <c r="I75" s="76"/>
      <c r="J75" s="214"/>
      <c r="K75" s="157"/>
      <c r="L75" s="76"/>
      <c r="M75" s="78"/>
      <c r="N75" s="76"/>
      <c r="O75" s="76"/>
      <c r="P75" s="76"/>
      <c r="Q75" s="76"/>
    </row>
    <row r="76" spans="1:17" s="91" customFormat="1" ht="12" customHeight="1" x14ac:dyDescent="0.3">
      <c r="A76" s="76"/>
      <c r="B76" s="223"/>
      <c r="C76" s="76"/>
      <c r="D76" s="88"/>
      <c r="E76" s="76"/>
      <c r="F76" s="76"/>
      <c r="G76" s="76"/>
      <c r="H76" s="76"/>
      <c r="I76" s="76"/>
      <c r="J76" s="214"/>
      <c r="K76" s="157"/>
      <c r="L76" s="76"/>
      <c r="M76" s="78"/>
      <c r="N76" s="76"/>
      <c r="O76" s="76"/>
      <c r="P76" s="76"/>
      <c r="Q76" s="76"/>
    </row>
    <row r="77" spans="1:17" s="91" customFormat="1" ht="12" customHeight="1" x14ac:dyDescent="0.3">
      <c r="A77" s="76"/>
      <c r="B77" s="223"/>
      <c r="C77" s="76"/>
      <c r="D77" s="88"/>
      <c r="E77" s="76"/>
      <c r="F77" s="76"/>
      <c r="G77" s="76"/>
      <c r="H77" s="76"/>
      <c r="I77" s="76"/>
      <c r="J77" s="214"/>
      <c r="K77" s="157"/>
      <c r="L77" s="76"/>
      <c r="M77" s="78"/>
      <c r="N77" s="76"/>
      <c r="O77" s="76"/>
      <c r="P77" s="76"/>
      <c r="Q77" s="76"/>
    </row>
    <row r="78" spans="1:17" s="91" customFormat="1" ht="12" customHeight="1" x14ac:dyDescent="0.3">
      <c r="A78" s="76"/>
      <c r="B78" s="223"/>
      <c r="C78" s="76"/>
      <c r="D78" s="88"/>
      <c r="E78" s="76"/>
      <c r="F78" s="76"/>
      <c r="G78" s="76"/>
      <c r="H78" s="76"/>
      <c r="I78" s="76"/>
      <c r="J78" s="214"/>
      <c r="K78" s="157"/>
      <c r="L78" s="76"/>
      <c r="M78" s="78"/>
      <c r="N78" s="76"/>
      <c r="O78" s="76"/>
      <c r="P78" s="76"/>
      <c r="Q78" s="76"/>
    </row>
    <row r="79" spans="1:17" s="91" customFormat="1" ht="12" customHeight="1" x14ac:dyDescent="0.3">
      <c r="A79" s="76"/>
      <c r="B79" s="223"/>
      <c r="C79" s="76"/>
      <c r="D79" s="76"/>
      <c r="E79" s="76"/>
      <c r="F79" s="76"/>
      <c r="G79" s="76"/>
      <c r="H79" s="76"/>
      <c r="I79" s="76"/>
      <c r="J79" s="214"/>
      <c r="K79" s="157"/>
      <c r="L79" s="76"/>
      <c r="M79" s="78"/>
      <c r="N79" s="76"/>
      <c r="O79" s="76"/>
      <c r="P79" s="76"/>
      <c r="Q79" s="76"/>
    </row>
    <row r="80" spans="1:17" s="91" customFormat="1" ht="12" customHeight="1" x14ac:dyDescent="0.3">
      <c r="A80" s="76"/>
      <c r="B80" s="223"/>
      <c r="C80" s="76"/>
      <c r="D80" s="76"/>
      <c r="E80" s="76"/>
      <c r="F80" s="76"/>
      <c r="G80" s="76"/>
      <c r="H80" s="76"/>
      <c r="I80" s="76"/>
      <c r="J80" s="214"/>
      <c r="K80" s="157"/>
      <c r="L80" s="76"/>
      <c r="M80" s="78"/>
      <c r="N80" s="76"/>
      <c r="O80" s="76"/>
      <c r="P80" s="76"/>
      <c r="Q80" s="76"/>
    </row>
    <row r="81" spans="1:17" s="91" customFormat="1" ht="12" customHeight="1" x14ac:dyDescent="0.3">
      <c r="A81" s="76"/>
      <c r="B81" s="223"/>
      <c r="C81" s="76"/>
      <c r="D81" s="76"/>
      <c r="E81" s="76"/>
      <c r="F81" s="76"/>
      <c r="G81" s="76"/>
      <c r="H81" s="76"/>
      <c r="I81" s="76"/>
      <c r="J81" s="214"/>
      <c r="K81" s="157"/>
      <c r="L81" s="76"/>
      <c r="M81" s="78"/>
      <c r="N81" s="76"/>
      <c r="O81" s="76"/>
      <c r="P81" s="76"/>
      <c r="Q81" s="76"/>
    </row>
    <row r="82" spans="1:17" s="91" customFormat="1" ht="12" customHeight="1" x14ac:dyDescent="0.3">
      <c r="A82" s="76"/>
      <c r="B82" s="223"/>
      <c r="C82" s="76"/>
      <c r="D82" s="76"/>
      <c r="E82" s="76"/>
      <c r="F82" s="76"/>
      <c r="G82" s="76"/>
      <c r="H82" s="76"/>
      <c r="I82" s="76"/>
      <c r="J82" s="214"/>
      <c r="K82" s="157"/>
      <c r="L82" s="76"/>
      <c r="M82" s="78"/>
      <c r="N82" s="76"/>
      <c r="O82" s="76"/>
      <c r="P82" s="76"/>
      <c r="Q82" s="76"/>
    </row>
    <row r="83" spans="1:17" s="91" customFormat="1" ht="12" customHeight="1" x14ac:dyDescent="0.3">
      <c r="A83" s="76"/>
      <c r="B83" s="223"/>
      <c r="C83" s="76"/>
      <c r="D83" s="76"/>
      <c r="E83" s="76"/>
      <c r="F83" s="76"/>
      <c r="G83" s="76"/>
      <c r="H83" s="76"/>
      <c r="I83" s="76"/>
      <c r="J83" s="214"/>
      <c r="K83" s="157"/>
      <c r="L83" s="76"/>
      <c r="M83" s="78"/>
      <c r="N83" s="76"/>
      <c r="O83" s="76"/>
      <c r="P83" s="76"/>
      <c r="Q83" s="76"/>
    </row>
    <row r="84" spans="1:17" s="91" customFormat="1" ht="12" customHeight="1" x14ac:dyDescent="0.3">
      <c r="A84" s="76"/>
      <c r="B84" s="223"/>
      <c r="C84" s="76"/>
      <c r="D84" s="76"/>
      <c r="E84" s="76"/>
      <c r="F84" s="76"/>
      <c r="G84" s="76"/>
      <c r="H84" s="76"/>
      <c r="I84" s="76"/>
      <c r="J84" s="214"/>
      <c r="K84" s="157"/>
      <c r="L84" s="76"/>
      <c r="M84" s="78"/>
      <c r="N84" s="76"/>
      <c r="O84" s="76"/>
      <c r="P84" s="76"/>
      <c r="Q84" s="76"/>
    </row>
    <row r="85" spans="1:17" s="91" customFormat="1" ht="12" customHeight="1" x14ac:dyDescent="0.3">
      <c r="A85" s="76"/>
      <c r="B85" s="223"/>
      <c r="C85" s="76"/>
      <c r="D85" s="76"/>
      <c r="E85" s="76"/>
      <c r="F85" s="76"/>
      <c r="G85" s="76"/>
      <c r="H85" s="76"/>
      <c r="I85" s="76"/>
      <c r="J85" s="214"/>
      <c r="K85" s="157"/>
      <c r="L85" s="76"/>
      <c r="M85" s="78"/>
      <c r="N85" s="76"/>
      <c r="O85" s="76"/>
      <c r="P85" s="76"/>
      <c r="Q85" s="76"/>
    </row>
    <row r="86" spans="1:17" s="91" customFormat="1" ht="12" customHeight="1" x14ac:dyDescent="0.3">
      <c r="A86" s="76"/>
      <c r="B86" s="223"/>
      <c r="C86" s="76"/>
      <c r="D86" s="76"/>
      <c r="E86" s="76"/>
      <c r="F86" s="76"/>
      <c r="G86" s="76"/>
      <c r="H86" s="76"/>
      <c r="I86" s="76"/>
      <c r="J86" s="214"/>
      <c r="K86" s="157"/>
      <c r="L86" s="76"/>
      <c r="M86" s="78"/>
      <c r="N86" s="76"/>
      <c r="O86" s="76"/>
      <c r="P86" s="76"/>
      <c r="Q86" s="76"/>
    </row>
    <row r="87" spans="1:17" s="91" customFormat="1" ht="12" customHeight="1" x14ac:dyDescent="0.3">
      <c r="A87" s="76"/>
      <c r="B87" s="223"/>
      <c r="C87" s="76"/>
      <c r="D87" s="76"/>
      <c r="E87" s="76"/>
      <c r="F87" s="76"/>
      <c r="G87" s="76"/>
      <c r="H87" s="76"/>
      <c r="I87" s="76"/>
      <c r="J87" s="214"/>
      <c r="K87" s="157"/>
      <c r="L87" s="76"/>
      <c r="M87" s="78"/>
      <c r="N87" s="76"/>
      <c r="O87" s="76"/>
      <c r="P87" s="76"/>
      <c r="Q87" s="76"/>
    </row>
    <row r="88" spans="1:17" s="91" customFormat="1" x14ac:dyDescent="0.3">
      <c r="A88" s="76"/>
      <c r="B88" s="223"/>
      <c r="C88" s="76"/>
      <c r="D88" s="76"/>
      <c r="E88" s="76"/>
      <c r="F88" s="76"/>
      <c r="G88" s="76"/>
      <c r="H88" s="76"/>
      <c r="I88" s="76"/>
      <c r="J88" s="214"/>
      <c r="K88" s="157"/>
      <c r="L88" s="76"/>
      <c r="M88" s="78"/>
      <c r="N88" s="76"/>
      <c r="O88" s="76"/>
      <c r="P88" s="76"/>
      <c r="Q88" s="76"/>
    </row>
    <row r="89" spans="1:17" s="91" customFormat="1" ht="12" customHeight="1" x14ac:dyDescent="0.3">
      <c r="A89" s="76"/>
      <c r="B89" s="223"/>
      <c r="C89" s="76"/>
      <c r="D89" s="76"/>
      <c r="E89" s="76"/>
      <c r="F89" s="76"/>
      <c r="G89" s="76"/>
      <c r="H89" s="76"/>
      <c r="I89" s="76"/>
      <c r="J89" s="214"/>
      <c r="K89" s="157"/>
      <c r="L89" s="76"/>
      <c r="M89" s="78"/>
      <c r="N89" s="76"/>
      <c r="O89" s="76"/>
      <c r="P89" s="76"/>
      <c r="Q89" s="76"/>
    </row>
    <row r="90" spans="1:17" s="91" customFormat="1" ht="12" customHeight="1" x14ac:dyDescent="0.3">
      <c r="A90" s="76"/>
      <c r="B90" s="223"/>
      <c r="C90" s="76"/>
      <c r="D90" s="76"/>
      <c r="E90" s="76"/>
      <c r="F90" s="76"/>
      <c r="G90" s="76"/>
      <c r="H90" s="76"/>
      <c r="I90" s="76"/>
      <c r="J90" s="214"/>
      <c r="K90" s="157"/>
      <c r="L90" s="76"/>
      <c r="M90" s="78"/>
      <c r="N90" s="76"/>
      <c r="O90" s="76"/>
      <c r="P90" s="76"/>
      <c r="Q90" s="76"/>
    </row>
    <row r="91" spans="1:17" s="91" customFormat="1" ht="12" customHeight="1" x14ac:dyDescent="0.3">
      <c r="A91" s="76"/>
      <c r="B91" s="223"/>
      <c r="C91" s="76"/>
      <c r="D91" s="76"/>
      <c r="E91" s="76"/>
      <c r="F91" s="76"/>
      <c r="G91" s="76"/>
      <c r="H91" s="76"/>
      <c r="I91" s="76"/>
      <c r="J91" s="214"/>
      <c r="K91" s="157"/>
      <c r="L91" s="76"/>
      <c r="M91" s="78"/>
      <c r="N91" s="76"/>
      <c r="O91" s="76"/>
      <c r="P91" s="76"/>
      <c r="Q91" s="76"/>
    </row>
    <row r="92" spans="1:17" s="91" customFormat="1" ht="12" customHeight="1" x14ac:dyDescent="0.3">
      <c r="A92" s="76"/>
      <c r="B92" s="223"/>
      <c r="C92" s="76"/>
      <c r="D92" s="76"/>
      <c r="E92" s="76"/>
      <c r="F92" s="76"/>
      <c r="G92" s="76"/>
      <c r="H92" s="76"/>
      <c r="I92" s="76"/>
      <c r="J92" s="214"/>
      <c r="K92" s="157"/>
      <c r="L92" s="76"/>
      <c r="M92" s="78"/>
      <c r="N92" s="76"/>
      <c r="O92" s="76"/>
      <c r="P92" s="76"/>
      <c r="Q92" s="76"/>
    </row>
    <row r="93" spans="1:17" s="91" customFormat="1" ht="12" customHeight="1" x14ac:dyDescent="0.3">
      <c r="A93" s="76"/>
      <c r="B93" s="223"/>
      <c r="C93" s="76"/>
      <c r="D93" s="76"/>
      <c r="E93" s="76"/>
      <c r="F93" s="76"/>
      <c r="G93" s="76"/>
      <c r="H93" s="76"/>
      <c r="I93" s="76"/>
      <c r="J93" s="214"/>
      <c r="K93" s="157"/>
      <c r="L93" s="76"/>
      <c r="M93" s="78"/>
      <c r="N93" s="76"/>
      <c r="O93" s="76"/>
      <c r="P93" s="76"/>
      <c r="Q93" s="76"/>
    </row>
    <row r="94" spans="1:17" s="91" customFormat="1" ht="12" customHeight="1" x14ac:dyDescent="0.3">
      <c r="A94" s="76"/>
      <c r="B94" s="223"/>
      <c r="C94" s="76"/>
      <c r="D94" s="76"/>
      <c r="E94" s="76"/>
      <c r="F94" s="76"/>
      <c r="G94" s="76"/>
      <c r="H94" s="76"/>
      <c r="I94" s="76"/>
      <c r="J94" s="214"/>
      <c r="K94" s="157"/>
      <c r="L94" s="76"/>
      <c r="M94" s="78"/>
      <c r="N94" s="76"/>
      <c r="O94" s="76"/>
      <c r="P94" s="76"/>
      <c r="Q94" s="76"/>
    </row>
    <row r="95" spans="1:17" s="91" customFormat="1" ht="12" customHeight="1" x14ac:dyDescent="0.3">
      <c r="A95" s="76"/>
      <c r="B95" s="223"/>
      <c r="C95" s="76"/>
      <c r="D95" s="76"/>
      <c r="E95" s="76"/>
      <c r="F95" s="76"/>
      <c r="G95" s="76"/>
      <c r="H95" s="76"/>
      <c r="I95" s="76"/>
      <c r="J95" s="214"/>
      <c r="K95" s="157"/>
      <c r="L95" s="76"/>
      <c r="M95" s="78"/>
      <c r="N95" s="76"/>
      <c r="O95" s="76"/>
      <c r="P95" s="76"/>
      <c r="Q95" s="76"/>
    </row>
    <row r="96" spans="1:17" s="91" customFormat="1" ht="12" customHeight="1" x14ac:dyDescent="0.3">
      <c r="A96" s="76"/>
      <c r="B96" s="223"/>
      <c r="C96" s="76"/>
      <c r="D96" s="76"/>
      <c r="E96" s="76"/>
      <c r="F96" s="76"/>
      <c r="G96" s="76"/>
      <c r="H96" s="76"/>
      <c r="I96" s="76"/>
      <c r="J96" s="214"/>
      <c r="K96" s="157"/>
      <c r="L96" s="76"/>
      <c r="M96" s="78"/>
      <c r="N96" s="76"/>
      <c r="O96" s="76"/>
      <c r="P96" s="76"/>
      <c r="Q96" s="76"/>
    </row>
    <row r="97" spans="1:17" s="91" customFormat="1" ht="12" customHeight="1" x14ac:dyDescent="0.3">
      <c r="A97" s="76"/>
      <c r="B97" s="223"/>
      <c r="C97" s="76"/>
      <c r="D97" s="76"/>
      <c r="E97" s="76"/>
      <c r="F97" s="76"/>
      <c r="G97" s="76"/>
      <c r="H97" s="76"/>
      <c r="I97" s="76"/>
      <c r="J97" s="214"/>
      <c r="K97" s="157"/>
      <c r="L97" s="76"/>
      <c r="M97" s="78"/>
      <c r="N97" s="76"/>
      <c r="O97" s="76"/>
      <c r="P97" s="76"/>
      <c r="Q97" s="76"/>
    </row>
    <row r="98" spans="1:17" s="91" customFormat="1" ht="12" customHeight="1" x14ac:dyDescent="0.3">
      <c r="A98" s="76"/>
      <c r="B98" s="223"/>
      <c r="C98" s="76"/>
      <c r="D98" s="76"/>
      <c r="E98" s="76"/>
      <c r="F98" s="76"/>
      <c r="G98" s="76"/>
      <c r="H98" s="76"/>
      <c r="I98" s="76"/>
      <c r="J98" s="214"/>
      <c r="K98" s="157"/>
      <c r="L98" s="76"/>
      <c r="M98" s="78"/>
      <c r="N98" s="76"/>
      <c r="O98" s="76"/>
      <c r="P98" s="76"/>
      <c r="Q98" s="76"/>
    </row>
    <row r="99" spans="1:17" s="91" customFormat="1" ht="12" customHeight="1" x14ac:dyDescent="0.3">
      <c r="A99" s="76"/>
      <c r="B99" s="223"/>
      <c r="C99" s="76"/>
      <c r="D99" s="76"/>
      <c r="E99" s="76"/>
      <c r="F99" s="76"/>
      <c r="G99" s="76"/>
      <c r="H99" s="76"/>
      <c r="I99" s="76"/>
      <c r="J99" s="214"/>
      <c r="K99" s="157"/>
      <c r="L99" s="76"/>
      <c r="M99" s="78"/>
      <c r="N99" s="76"/>
      <c r="O99" s="76"/>
      <c r="P99" s="76"/>
      <c r="Q99" s="76"/>
    </row>
    <row r="100" spans="1:17" s="91" customFormat="1" ht="12" customHeight="1" x14ac:dyDescent="0.3">
      <c r="A100" s="76"/>
      <c r="B100" s="223"/>
      <c r="C100" s="76"/>
      <c r="D100" s="76"/>
      <c r="E100" s="76"/>
      <c r="F100" s="76"/>
      <c r="G100" s="76"/>
      <c r="H100" s="76"/>
      <c r="I100" s="76"/>
      <c r="J100" s="214"/>
      <c r="K100" s="157"/>
      <c r="L100" s="76"/>
      <c r="M100" s="78"/>
      <c r="N100" s="76"/>
      <c r="O100" s="76"/>
      <c r="P100" s="76"/>
      <c r="Q100" s="76"/>
    </row>
    <row r="101" spans="1:17" s="91" customFormat="1" ht="12" customHeight="1" x14ac:dyDescent="0.3">
      <c r="A101" s="76"/>
      <c r="B101" s="223"/>
      <c r="C101" s="76"/>
      <c r="D101" s="76"/>
      <c r="E101" s="76"/>
      <c r="F101" s="76"/>
      <c r="G101" s="76"/>
      <c r="H101" s="76"/>
      <c r="I101" s="76"/>
      <c r="J101" s="214"/>
      <c r="K101" s="157"/>
      <c r="L101" s="76"/>
      <c r="M101" s="78"/>
      <c r="N101" s="76"/>
      <c r="O101" s="76"/>
      <c r="P101" s="76"/>
      <c r="Q101" s="76"/>
    </row>
    <row r="102" spans="1:17" s="91" customFormat="1" ht="12" customHeight="1" x14ac:dyDescent="0.3">
      <c r="A102" s="76"/>
      <c r="B102" s="223"/>
      <c r="C102" s="76"/>
      <c r="D102" s="76"/>
      <c r="E102" s="76"/>
      <c r="F102" s="76"/>
      <c r="G102" s="76"/>
      <c r="H102" s="76"/>
      <c r="I102" s="76"/>
      <c r="J102" s="214"/>
      <c r="K102" s="157"/>
      <c r="L102" s="76"/>
      <c r="M102" s="78"/>
      <c r="N102" s="76"/>
      <c r="O102" s="76"/>
      <c r="P102" s="76"/>
      <c r="Q102" s="76"/>
    </row>
    <row r="103" spans="1:17" s="91" customFormat="1" ht="12" customHeight="1" x14ac:dyDescent="0.3">
      <c r="A103" s="76"/>
      <c r="B103" s="223"/>
      <c r="C103" s="76"/>
      <c r="D103" s="76"/>
      <c r="E103" s="76"/>
      <c r="F103" s="76"/>
      <c r="G103" s="76"/>
      <c r="H103" s="76"/>
      <c r="I103" s="76"/>
      <c r="J103" s="214"/>
      <c r="K103" s="157"/>
      <c r="L103" s="76"/>
      <c r="M103" s="78"/>
      <c r="N103" s="76"/>
      <c r="O103" s="76"/>
      <c r="P103" s="76"/>
      <c r="Q103" s="76"/>
    </row>
    <row r="104" spans="1:17" s="91" customFormat="1" ht="12" customHeight="1" x14ac:dyDescent="0.3">
      <c r="A104" s="76"/>
      <c r="B104" s="223"/>
      <c r="C104" s="76"/>
      <c r="D104" s="76"/>
      <c r="E104" s="76"/>
      <c r="F104" s="76"/>
      <c r="G104" s="76"/>
      <c r="H104" s="76"/>
      <c r="I104" s="76"/>
      <c r="J104" s="214"/>
      <c r="K104" s="157"/>
      <c r="L104" s="76"/>
      <c r="M104" s="78"/>
      <c r="N104" s="76"/>
      <c r="O104" s="76"/>
      <c r="P104" s="76"/>
      <c r="Q104" s="76"/>
    </row>
    <row r="105" spans="1:17" s="91" customFormat="1" ht="12" customHeight="1" x14ac:dyDescent="0.3">
      <c r="A105" s="76"/>
      <c r="B105" s="223"/>
      <c r="C105" s="76"/>
      <c r="D105" s="76"/>
      <c r="E105" s="76"/>
      <c r="F105" s="76"/>
      <c r="G105" s="76"/>
      <c r="H105" s="76"/>
      <c r="I105" s="76"/>
      <c r="J105" s="214"/>
      <c r="K105" s="157"/>
      <c r="L105" s="76"/>
      <c r="M105" s="78"/>
      <c r="N105" s="76"/>
      <c r="O105" s="76"/>
      <c r="P105" s="76"/>
      <c r="Q105" s="76"/>
    </row>
    <row r="106" spans="1:17" s="91" customFormat="1" ht="12" customHeight="1" x14ac:dyDescent="0.3">
      <c r="A106" s="76"/>
      <c r="B106" s="223"/>
      <c r="C106" s="76"/>
      <c r="D106" s="76"/>
      <c r="E106" s="76"/>
      <c r="F106" s="76"/>
      <c r="G106" s="76"/>
      <c r="H106" s="76"/>
      <c r="I106" s="76"/>
      <c r="J106" s="214"/>
      <c r="K106" s="157"/>
      <c r="L106" s="76"/>
      <c r="M106" s="78"/>
      <c r="N106" s="76"/>
      <c r="O106" s="76"/>
      <c r="P106" s="76"/>
      <c r="Q106" s="76"/>
    </row>
    <row r="107" spans="1:17" s="91" customFormat="1" ht="12" customHeight="1" x14ac:dyDescent="0.3">
      <c r="A107" s="76"/>
      <c r="B107" s="223"/>
      <c r="C107" s="76"/>
      <c r="D107" s="76"/>
      <c r="E107" s="76"/>
      <c r="F107" s="76"/>
      <c r="G107" s="76"/>
      <c r="H107" s="76"/>
      <c r="I107" s="76"/>
      <c r="J107" s="214"/>
      <c r="K107" s="157"/>
      <c r="L107" s="76"/>
      <c r="M107" s="78"/>
      <c r="N107" s="76"/>
      <c r="O107" s="76"/>
      <c r="P107" s="76"/>
      <c r="Q107" s="76"/>
    </row>
    <row r="108" spans="1:17" s="91" customFormat="1" ht="12" customHeight="1" x14ac:dyDescent="0.3">
      <c r="A108" s="76"/>
      <c r="B108" s="223"/>
      <c r="C108" s="76"/>
      <c r="D108" s="76"/>
      <c r="E108" s="76"/>
      <c r="F108" s="76"/>
      <c r="G108" s="76"/>
      <c r="H108" s="76"/>
      <c r="I108" s="76"/>
      <c r="J108" s="214"/>
      <c r="K108" s="157"/>
      <c r="L108" s="76"/>
      <c r="M108" s="78"/>
      <c r="N108" s="76"/>
      <c r="O108" s="76"/>
      <c r="P108" s="76"/>
      <c r="Q108" s="76"/>
    </row>
    <row r="109" spans="1:17" s="91" customFormat="1" ht="12" customHeight="1" x14ac:dyDescent="0.3">
      <c r="A109" s="76"/>
      <c r="B109" s="223"/>
      <c r="C109" s="76"/>
      <c r="D109" s="76"/>
      <c r="E109" s="76"/>
      <c r="F109" s="76"/>
      <c r="G109" s="76"/>
      <c r="H109" s="76"/>
      <c r="I109" s="76"/>
      <c r="J109" s="214"/>
      <c r="K109" s="157"/>
      <c r="L109" s="76"/>
      <c r="M109" s="78"/>
      <c r="N109" s="76"/>
      <c r="O109" s="76"/>
      <c r="P109" s="76"/>
      <c r="Q109" s="76"/>
    </row>
    <row r="110" spans="1:17" s="91" customFormat="1" ht="12" customHeight="1" x14ac:dyDescent="0.3">
      <c r="A110" s="76"/>
      <c r="B110" s="223"/>
      <c r="C110" s="76"/>
      <c r="D110" s="76"/>
      <c r="E110" s="76"/>
      <c r="F110" s="76"/>
      <c r="G110" s="76"/>
      <c r="H110" s="76"/>
      <c r="I110" s="76"/>
      <c r="J110" s="214"/>
      <c r="K110" s="157"/>
      <c r="L110" s="76"/>
      <c r="M110" s="78"/>
      <c r="N110" s="76"/>
      <c r="O110" s="76"/>
      <c r="P110" s="76"/>
      <c r="Q110" s="76"/>
    </row>
    <row r="111" spans="1:17" s="91" customFormat="1" ht="12" customHeight="1" x14ac:dyDescent="0.3">
      <c r="A111" s="76"/>
      <c r="B111" s="223"/>
      <c r="C111" s="76"/>
      <c r="D111" s="76"/>
      <c r="E111" s="76"/>
      <c r="F111" s="76"/>
      <c r="G111" s="76"/>
      <c r="H111" s="76"/>
      <c r="I111" s="76"/>
      <c r="J111" s="214"/>
      <c r="K111" s="157"/>
      <c r="L111" s="76"/>
      <c r="M111" s="78"/>
      <c r="N111" s="76"/>
      <c r="O111" s="76"/>
      <c r="P111" s="76"/>
      <c r="Q111" s="76"/>
    </row>
    <row r="112" spans="1:17" s="91" customFormat="1" ht="12" customHeight="1" x14ac:dyDescent="0.3">
      <c r="A112" s="76"/>
      <c r="B112" s="223"/>
      <c r="C112" s="76"/>
      <c r="D112" s="76"/>
      <c r="E112" s="76"/>
      <c r="F112" s="76"/>
      <c r="G112" s="76"/>
      <c r="H112" s="76"/>
      <c r="I112" s="76"/>
      <c r="J112" s="214"/>
      <c r="K112" s="157"/>
      <c r="L112" s="76"/>
      <c r="M112" s="78"/>
      <c r="N112" s="76"/>
      <c r="O112" s="76"/>
      <c r="P112" s="76"/>
      <c r="Q112" s="76"/>
    </row>
    <row r="113" spans="1:17" s="91" customFormat="1" ht="12" customHeight="1" x14ac:dyDescent="0.3">
      <c r="A113" s="76"/>
      <c r="B113" s="223"/>
      <c r="C113" s="76"/>
      <c r="D113" s="76"/>
      <c r="E113" s="76"/>
      <c r="F113" s="76"/>
      <c r="G113" s="76"/>
      <c r="H113" s="76"/>
      <c r="I113" s="76"/>
      <c r="J113" s="214"/>
      <c r="K113" s="157"/>
      <c r="L113" s="76"/>
      <c r="M113" s="78"/>
      <c r="N113" s="76"/>
      <c r="O113" s="76"/>
      <c r="P113" s="76"/>
      <c r="Q113" s="76"/>
    </row>
    <row r="114" spans="1:17" s="91" customFormat="1" ht="12" customHeight="1" x14ac:dyDescent="0.3">
      <c r="A114" s="76"/>
      <c r="B114" s="223"/>
      <c r="C114" s="76"/>
      <c r="D114" s="76"/>
      <c r="E114" s="76"/>
      <c r="F114" s="76"/>
      <c r="G114" s="76"/>
      <c r="H114" s="76"/>
      <c r="I114" s="76"/>
      <c r="J114" s="214"/>
      <c r="K114" s="157"/>
      <c r="L114" s="76"/>
      <c r="M114" s="78"/>
      <c r="N114" s="76"/>
      <c r="O114" s="76"/>
      <c r="P114" s="76"/>
      <c r="Q114" s="76"/>
    </row>
    <row r="115" spans="1:17" s="91" customFormat="1" ht="12" customHeight="1" x14ac:dyDescent="0.3">
      <c r="A115" s="76"/>
      <c r="B115" s="223"/>
      <c r="C115" s="76"/>
      <c r="D115" s="76"/>
      <c r="E115" s="76"/>
      <c r="F115" s="76"/>
      <c r="G115" s="76"/>
      <c r="H115" s="76"/>
      <c r="I115" s="76"/>
      <c r="J115" s="214"/>
      <c r="K115" s="157"/>
      <c r="L115" s="76"/>
      <c r="M115" s="78"/>
      <c r="N115" s="76"/>
      <c r="O115" s="76"/>
      <c r="P115" s="76"/>
      <c r="Q115" s="76"/>
    </row>
    <row r="116" spans="1:17" s="91" customFormat="1" ht="12" customHeight="1" x14ac:dyDescent="0.3">
      <c r="A116" s="76"/>
      <c r="B116" s="223"/>
      <c r="C116" s="76"/>
      <c r="D116" s="76"/>
      <c r="E116" s="76"/>
      <c r="F116" s="76"/>
      <c r="G116" s="76"/>
      <c r="H116" s="76"/>
      <c r="I116" s="76"/>
      <c r="J116" s="214"/>
      <c r="K116" s="157"/>
      <c r="L116" s="76"/>
      <c r="M116" s="78"/>
      <c r="N116" s="76"/>
      <c r="O116" s="76"/>
      <c r="P116" s="76"/>
      <c r="Q116" s="76"/>
    </row>
    <row r="117" spans="1:17" s="91" customFormat="1" ht="12" customHeight="1" x14ac:dyDescent="0.3">
      <c r="A117" s="76"/>
      <c r="B117" s="223"/>
      <c r="C117" s="76"/>
      <c r="D117" s="76"/>
      <c r="E117" s="76"/>
      <c r="F117" s="76"/>
      <c r="G117" s="76"/>
      <c r="H117" s="76"/>
      <c r="I117" s="76"/>
      <c r="J117" s="214"/>
      <c r="K117" s="157"/>
      <c r="L117" s="76"/>
      <c r="M117" s="78"/>
      <c r="N117" s="76"/>
      <c r="O117" s="76"/>
      <c r="P117" s="76"/>
      <c r="Q117" s="76"/>
    </row>
    <row r="118" spans="1:17" s="91" customFormat="1" ht="12" customHeight="1" x14ac:dyDescent="0.3">
      <c r="A118" s="76"/>
      <c r="B118" s="223"/>
      <c r="C118" s="76"/>
      <c r="D118" s="76"/>
      <c r="E118" s="76"/>
      <c r="F118" s="76"/>
      <c r="G118" s="76"/>
      <c r="H118" s="76"/>
      <c r="I118" s="76"/>
      <c r="J118" s="214"/>
      <c r="K118" s="157"/>
      <c r="L118" s="76"/>
      <c r="M118" s="78"/>
      <c r="N118" s="76"/>
      <c r="O118" s="76"/>
      <c r="P118" s="76"/>
      <c r="Q118" s="76"/>
    </row>
    <row r="119" spans="1:17" s="91" customFormat="1" ht="12" customHeight="1" x14ac:dyDescent="0.3">
      <c r="A119" s="76"/>
      <c r="B119" s="223"/>
      <c r="C119" s="76"/>
      <c r="D119" s="76"/>
      <c r="E119" s="76"/>
      <c r="F119" s="76"/>
      <c r="G119" s="76"/>
      <c r="H119" s="76"/>
      <c r="I119" s="76"/>
      <c r="J119" s="214"/>
      <c r="K119" s="157"/>
      <c r="L119" s="76"/>
      <c r="M119" s="78"/>
      <c r="N119" s="76"/>
      <c r="O119" s="76"/>
      <c r="P119" s="76"/>
      <c r="Q119" s="76"/>
    </row>
    <row r="120" spans="1:17" s="91" customFormat="1" ht="12" customHeight="1" x14ac:dyDescent="0.3">
      <c r="A120" s="76"/>
      <c r="B120" s="223"/>
      <c r="C120" s="76"/>
      <c r="D120" s="76"/>
      <c r="E120" s="76"/>
      <c r="F120" s="76"/>
      <c r="G120" s="76"/>
      <c r="H120" s="76"/>
      <c r="I120" s="76"/>
      <c r="J120" s="214"/>
      <c r="K120" s="157"/>
      <c r="L120" s="76"/>
      <c r="M120" s="78"/>
      <c r="N120" s="76"/>
      <c r="O120" s="76"/>
      <c r="P120" s="76"/>
      <c r="Q120" s="76"/>
    </row>
    <row r="121" spans="1:17" s="91" customFormat="1" ht="12" customHeight="1" x14ac:dyDescent="0.3">
      <c r="A121" s="76"/>
      <c r="B121" s="223"/>
      <c r="C121" s="76"/>
      <c r="D121" s="76"/>
      <c r="E121" s="76"/>
      <c r="F121" s="76"/>
      <c r="G121" s="76"/>
      <c r="H121" s="76"/>
      <c r="I121" s="76"/>
      <c r="J121" s="214"/>
      <c r="K121" s="157"/>
      <c r="L121" s="76"/>
      <c r="M121" s="78"/>
      <c r="N121" s="76"/>
      <c r="O121" s="76"/>
      <c r="P121" s="76"/>
      <c r="Q121" s="76"/>
    </row>
    <row r="122" spans="1:17" s="91" customFormat="1" ht="12" customHeight="1" x14ac:dyDescent="0.3">
      <c r="A122" s="76"/>
      <c r="B122" s="223"/>
      <c r="C122" s="76"/>
      <c r="D122" s="76"/>
      <c r="E122" s="76"/>
      <c r="F122" s="76"/>
      <c r="G122" s="76"/>
      <c r="H122" s="76"/>
      <c r="I122" s="76"/>
      <c r="J122" s="214"/>
      <c r="K122" s="157"/>
      <c r="L122" s="76"/>
      <c r="M122" s="78"/>
      <c r="N122" s="76"/>
      <c r="O122" s="76"/>
      <c r="P122" s="76"/>
      <c r="Q122" s="76"/>
    </row>
    <row r="123" spans="1:17" s="91" customFormat="1" ht="12" customHeight="1" x14ac:dyDescent="0.3">
      <c r="A123" s="76"/>
      <c r="B123" s="223"/>
      <c r="C123" s="76"/>
      <c r="D123" s="76"/>
      <c r="E123" s="76"/>
      <c r="F123" s="76"/>
      <c r="G123" s="76"/>
      <c r="H123" s="76"/>
      <c r="I123" s="76"/>
      <c r="J123" s="214"/>
      <c r="K123" s="157"/>
      <c r="L123" s="76"/>
      <c r="M123" s="78"/>
      <c r="N123" s="76"/>
      <c r="O123" s="76"/>
      <c r="P123" s="76"/>
      <c r="Q123" s="76"/>
    </row>
    <row r="124" spans="1:17" s="91" customFormat="1" ht="12" customHeight="1" x14ac:dyDescent="0.3">
      <c r="A124" s="76"/>
      <c r="B124" s="223"/>
      <c r="C124" s="76"/>
      <c r="D124" s="76"/>
      <c r="E124" s="76"/>
      <c r="F124" s="76"/>
      <c r="G124" s="76"/>
      <c r="H124" s="76"/>
      <c r="I124" s="76"/>
      <c r="J124" s="214"/>
      <c r="K124" s="157"/>
      <c r="L124" s="76"/>
      <c r="M124" s="78"/>
      <c r="N124" s="76"/>
      <c r="O124" s="76"/>
      <c r="P124" s="76"/>
      <c r="Q124" s="76"/>
    </row>
    <row r="125" spans="1:17" s="91" customFormat="1" ht="12" customHeight="1" x14ac:dyDescent="0.3">
      <c r="A125" s="76"/>
      <c r="B125" s="223"/>
      <c r="C125" s="76"/>
      <c r="D125" s="76"/>
      <c r="E125" s="76"/>
      <c r="F125" s="76"/>
      <c r="G125" s="76"/>
      <c r="H125" s="76"/>
      <c r="I125" s="76"/>
      <c r="J125" s="214"/>
      <c r="K125" s="157"/>
      <c r="L125" s="76"/>
      <c r="M125" s="78"/>
      <c r="N125" s="76"/>
      <c r="O125" s="76"/>
      <c r="P125" s="76"/>
      <c r="Q125" s="76"/>
    </row>
    <row r="126" spans="1:17" s="91" customFormat="1" ht="12" customHeight="1" x14ac:dyDescent="0.3">
      <c r="A126" s="76"/>
      <c r="B126" s="223"/>
      <c r="C126" s="76"/>
      <c r="D126" s="76"/>
      <c r="E126" s="76"/>
      <c r="F126" s="76"/>
      <c r="G126" s="76"/>
      <c r="H126" s="76"/>
      <c r="I126" s="76"/>
      <c r="J126" s="214"/>
      <c r="K126" s="157"/>
      <c r="L126" s="76"/>
      <c r="M126" s="78"/>
      <c r="N126" s="76"/>
      <c r="O126" s="76"/>
      <c r="P126" s="76"/>
      <c r="Q126" s="76"/>
    </row>
    <row r="127" spans="1:17" s="91" customFormat="1" ht="12" customHeight="1" x14ac:dyDescent="0.3">
      <c r="A127" s="76"/>
      <c r="B127" s="223"/>
      <c r="C127" s="76"/>
      <c r="D127" s="76"/>
      <c r="E127" s="76"/>
      <c r="F127" s="76"/>
      <c r="G127" s="76"/>
      <c r="H127" s="76"/>
      <c r="I127" s="76"/>
      <c r="J127" s="214"/>
      <c r="K127" s="157"/>
      <c r="L127" s="76"/>
      <c r="M127" s="78"/>
      <c r="N127" s="76"/>
      <c r="O127" s="76"/>
      <c r="P127" s="76"/>
      <c r="Q127" s="76"/>
    </row>
    <row r="128" spans="1:17" s="91" customFormat="1" ht="12" customHeight="1" x14ac:dyDescent="0.3">
      <c r="A128" s="76"/>
      <c r="B128" s="223"/>
      <c r="C128" s="76"/>
      <c r="D128" s="76"/>
      <c r="E128" s="76"/>
      <c r="F128" s="76"/>
      <c r="G128" s="76"/>
      <c r="H128" s="76"/>
      <c r="I128" s="76"/>
      <c r="J128" s="214"/>
      <c r="K128" s="157"/>
      <c r="L128" s="76"/>
      <c r="M128" s="78"/>
      <c r="N128" s="76"/>
      <c r="O128" s="76"/>
      <c r="P128" s="76"/>
      <c r="Q128" s="76"/>
    </row>
    <row r="129" spans="1:17" s="91" customFormat="1" ht="12" customHeight="1" x14ac:dyDescent="0.3">
      <c r="A129" s="76"/>
      <c r="B129" s="223"/>
      <c r="C129" s="76"/>
      <c r="D129" s="76"/>
      <c r="E129" s="76"/>
      <c r="F129" s="76"/>
      <c r="G129" s="76"/>
      <c r="H129" s="76"/>
      <c r="I129" s="76"/>
      <c r="J129" s="214"/>
      <c r="K129" s="157"/>
      <c r="L129" s="76"/>
      <c r="M129" s="78"/>
      <c r="N129" s="76"/>
      <c r="O129" s="76"/>
      <c r="P129" s="76"/>
      <c r="Q129" s="76"/>
    </row>
    <row r="130" spans="1:17" s="91" customFormat="1" ht="12" customHeight="1" x14ac:dyDescent="0.3">
      <c r="A130" s="76"/>
      <c r="B130" s="223"/>
      <c r="C130" s="76"/>
      <c r="D130" s="76"/>
      <c r="E130" s="76"/>
      <c r="F130" s="76"/>
      <c r="G130" s="76"/>
      <c r="H130" s="76"/>
      <c r="I130" s="76"/>
      <c r="J130" s="214"/>
      <c r="K130" s="157"/>
      <c r="L130" s="76"/>
      <c r="M130" s="78"/>
      <c r="N130" s="76"/>
      <c r="O130" s="76"/>
      <c r="P130" s="76"/>
      <c r="Q130" s="76"/>
    </row>
    <row r="131" spans="1:17" s="91" customFormat="1" ht="12" customHeight="1" x14ac:dyDescent="0.3">
      <c r="A131" s="76"/>
      <c r="B131" s="223"/>
      <c r="C131" s="76"/>
      <c r="D131" s="76"/>
      <c r="E131" s="76"/>
      <c r="F131" s="76"/>
      <c r="G131" s="76"/>
      <c r="H131" s="76"/>
      <c r="I131" s="76"/>
      <c r="J131" s="214"/>
      <c r="K131" s="157"/>
      <c r="L131" s="76"/>
      <c r="M131" s="78"/>
      <c r="N131" s="76"/>
      <c r="O131" s="76"/>
      <c r="P131" s="76"/>
      <c r="Q131" s="76"/>
    </row>
    <row r="132" spans="1:17" s="91" customFormat="1" ht="12" customHeight="1" x14ac:dyDescent="0.3">
      <c r="A132" s="76"/>
      <c r="B132" s="223"/>
      <c r="C132" s="76"/>
      <c r="D132" s="76"/>
      <c r="E132" s="76"/>
      <c r="F132" s="76"/>
      <c r="G132" s="76"/>
      <c r="H132" s="76"/>
      <c r="I132" s="76"/>
      <c r="J132" s="214"/>
      <c r="K132" s="157"/>
      <c r="L132" s="76"/>
      <c r="M132" s="78"/>
      <c r="N132" s="76"/>
      <c r="O132" s="76"/>
      <c r="P132" s="76"/>
      <c r="Q132" s="76"/>
    </row>
    <row r="133" spans="1:17" s="91" customFormat="1" ht="12" customHeight="1" x14ac:dyDescent="0.3">
      <c r="A133" s="76"/>
      <c r="B133" s="223"/>
      <c r="C133" s="76"/>
      <c r="D133" s="76"/>
      <c r="E133" s="76"/>
      <c r="F133" s="76"/>
      <c r="G133" s="76"/>
      <c r="H133" s="76"/>
      <c r="I133" s="76"/>
      <c r="J133" s="214"/>
      <c r="K133" s="157"/>
      <c r="L133" s="76"/>
      <c r="M133" s="78"/>
      <c r="N133" s="76"/>
      <c r="O133" s="76"/>
      <c r="P133" s="76"/>
      <c r="Q133" s="76"/>
    </row>
    <row r="134" spans="1:17" s="91" customFormat="1" ht="12" customHeight="1" x14ac:dyDescent="0.3">
      <c r="A134" s="76"/>
      <c r="B134" s="223"/>
      <c r="C134" s="76"/>
      <c r="D134" s="76"/>
      <c r="E134" s="76"/>
      <c r="F134" s="76"/>
      <c r="G134" s="76"/>
      <c r="H134" s="76"/>
      <c r="I134" s="76"/>
      <c r="J134" s="214"/>
      <c r="K134" s="157"/>
      <c r="L134" s="76"/>
      <c r="M134" s="78"/>
      <c r="N134" s="76"/>
      <c r="O134" s="76"/>
      <c r="P134" s="76"/>
      <c r="Q134" s="76"/>
    </row>
    <row r="135" spans="1:17" s="91" customFormat="1" ht="12" customHeight="1" x14ac:dyDescent="0.3">
      <c r="A135" s="76"/>
      <c r="B135" s="223"/>
      <c r="C135" s="76"/>
      <c r="D135" s="76"/>
      <c r="E135" s="76"/>
      <c r="F135" s="76"/>
      <c r="G135" s="76"/>
      <c r="H135" s="76"/>
      <c r="I135" s="76"/>
      <c r="J135" s="214"/>
      <c r="K135" s="157"/>
      <c r="L135" s="76"/>
      <c r="M135" s="78"/>
      <c r="N135" s="76"/>
      <c r="O135" s="76"/>
      <c r="P135" s="76"/>
      <c r="Q135" s="76"/>
    </row>
    <row r="136" spans="1:17" s="91" customFormat="1" ht="12" customHeight="1" x14ac:dyDescent="0.3">
      <c r="A136" s="76"/>
      <c r="B136" s="223"/>
      <c r="C136" s="76"/>
      <c r="D136" s="76"/>
      <c r="E136" s="76"/>
      <c r="F136" s="76"/>
      <c r="G136" s="76"/>
      <c r="H136" s="76"/>
      <c r="I136" s="76"/>
      <c r="J136" s="214"/>
      <c r="K136" s="157"/>
      <c r="L136" s="76"/>
      <c r="M136" s="78"/>
      <c r="N136" s="76"/>
      <c r="O136" s="76"/>
      <c r="P136" s="76"/>
      <c r="Q136" s="76"/>
    </row>
    <row r="137" spans="1:17" s="91" customFormat="1" ht="12" customHeight="1" x14ac:dyDescent="0.3">
      <c r="A137" s="76"/>
      <c r="B137" s="223"/>
      <c r="C137" s="76"/>
      <c r="D137" s="76"/>
      <c r="E137" s="76"/>
      <c r="F137" s="76"/>
      <c r="G137" s="76"/>
      <c r="H137" s="76"/>
      <c r="I137" s="76"/>
      <c r="J137" s="214"/>
      <c r="K137" s="157"/>
      <c r="L137" s="76"/>
      <c r="M137" s="78"/>
      <c r="N137" s="76"/>
      <c r="O137" s="76"/>
      <c r="P137" s="76"/>
      <c r="Q137" s="76"/>
    </row>
    <row r="138" spans="1:17" s="91" customFormat="1" ht="12" customHeight="1" x14ac:dyDescent="0.3">
      <c r="A138" s="76"/>
      <c r="B138" s="223"/>
      <c r="C138" s="76"/>
      <c r="D138" s="76"/>
      <c r="E138" s="76"/>
      <c r="F138" s="76"/>
      <c r="G138" s="76"/>
      <c r="H138" s="76"/>
      <c r="I138" s="76"/>
      <c r="J138" s="214"/>
      <c r="K138" s="157"/>
      <c r="L138" s="76"/>
      <c r="M138" s="78"/>
      <c r="N138" s="76"/>
      <c r="O138" s="76"/>
      <c r="P138" s="76"/>
      <c r="Q138" s="76"/>
    </row>
    <row r="139" spans="1:17" s="91" customFormat="1" ht="12" customHeight="1" x14ac:dyDescent="0.3">
      <c r="A139" s="76"/>
      <c r="B139" s="223"/>
      <c r="C139" s="76"/>
      <c r="D139" s="76"/>
      <c r="E139" s="76"/>
      <c r="F139" s="76"/>
      <c r="G139" s="76"/>
      <c r="H139" s="76"/>
      <c r="I139" s="76"/>
      <c r="J139" s="214"/>
      <c r="K139" s="157"/>
      <c r="L139" s="76"/>
      <c r="M139" s="78"/>
      <c r="N139" s="76"/>
      <c r="O139" s="76"/>
      <c r="P139" s="76"/>
      <c r="Q139" s="76"/>
    </row>
    <row r="140" spans="1:17" s="91" customFormat="1" ht="12" customHeight="1" x14ac:dyDescent="0.3">
      <c r="A140" s="76"/>
      <c r="B140" s="223"/>
      <c r="C140" s="76"/>
      <c r="D140" s="76"/>
      <c r="E140" s="76"/>
      <c r="F140" s="76"/>
      <c r="G140" s="76"/>
      <c r="H140" s="76"/>
      <c r="I140" s="76"/>
      <c r="J140" s="214"/>
      <c r="K140" s="157"/>
      <c r="L140" s="76"/>
      <c r="M140" s="78"/>
      <c r="N140" s="76"/>
      <c r="O140" s="76"/>
      <c r="P140" s="76"/>
      <c r="Q140" s="76"/>
    </row>
    <row r="141" spans="1:17" s="91" customFormat="1" ht="12" customHeight="1" x14ac:dyDescent="0.3">
      <c r="A141" s="76"/>
      <c r="B141" s="223"/>
      <c r="C141" s="76"/>
      <c r="D141" s="76"/>
      <c r="E141" s="76"/>
      <c r="F141" s="76"/>
      <c r="G141" s="76"/>
      <c r="H141" s="76"/>
      <c r="I141" s="76"/>
      <c r="J141" s="214"/>
      <c r="K141" s="157"/>
      <c r="L141" s="76"/>
      <c r="M141" s="78"/>
      <c r="N141" s="76"/>
      <c r="O141" s="76"/>
      <c r="P141" s="76"/>
      <c r="Q141" s="76"/>
    </row>
    <row r="142" spans="1:17" s="91" customFormat="1" ht="12" customHeight="1" x14ac:dyDescent="0.3">
      <c r="A142" s="76"/>
      <c r="B142" s="223"/>
      <c r="C142" s="76"/>
      <c r="D142" s="76"/>
      <c r="E142" s="76"/>
      <c r="F142" s="76"/>
      <c r="G142" s="76"/>
      <c r="H142" s="76"/>
      <c r="I142" s="76"/>
      <c r="J142" s="214"/>
      <c r="K142" s="157"/>
      <c r="L142" s="76"/>
      <c r="M142" s="78"/>
      <c r="N142" s="76"/>
      <c r="O142" s="76"/>
      <c r="P142" s="76"/>
      <c r="Q142" s="76"/>
    </row>
    <row r="143" spans="1:17" s="91" customFormat="1" ht="12" customHeight="1" x14ac:dyDescent="0.3">
      <c r="A143" s="76"/>
      <c r="B143" s="223"/>
      <c r="C143" s="76"/>
      <c r="D143" s="76"/>
      <c r="E143" s="76"/>
      <c r="F143" s="76"/>
      <c r="G143" s="76"/>
      <c r="H143" s="76"/>
      <c r="I143" s="76"/>
      <c r="J143" s="214"/>
      <c r="K143" s="157"/>
      <c r="L143" s="76"/>
      <c r="M143" s="78"/>
      <c r="N143" s="76"/>
      <c r="O143" s="76"/>
      <c r="P143" s="76"/>
      <c r="Q143" s="76"/>
    </row>
    <row r="144" spans="1:17" s="91" customFormat="1" ht="12" customHeight="1" x14ac:dyDescent="0.3">
      <c r="A144" s="76"/>
      <c r="B144" s="223"/>
      <c r="C144" s="76"/>
      <c r="D144" s="76"/>
      <c r="E144" s="76"/>
      <c r="F144" s="76"/>
      <c r="G144" s="76"/>
      <c r="H144" s="76"/>
      <c r="I144" s="76"/>
      <c r="J144" s="214"/>
      <c r="K144" s="157"/>
      <c r="L144" s="76"/>
      <c r="M144" s="78"/>
      <c r="N144" s="76"/>
      <c r="O144" s="76"/>
      <c r="P144" s="76"/>
      <c r="Q144" s="76"/>
    </row>
    <row r="145" spans="1:17" s="91" customFormat="1" ht="12" customHeight="1" x14ac:dyDescent="0.3">
      <c r="A145" s="76"/>
      <c r="B145" s="223"/>
      <c r="C145" s="76"/>
      <c r="D145" s="76"/>
      <c r="E145" s="76"/>
      <c r="F145" s="76"/>
      <c r="G145" s="76"/>
      <c r="H145" s="76"/>
      <c r="I145" s="76"/>
      <c r="J145" s="214"/>
      <c r="K145" s="157"/>
      <c r="L145" s="76"/>
      <c r="M145" s="78"/>
      <c r="N145" s="76"/>
      <c r="O145" s="76"/>
      <c r="P145" s="76"/>
      <c r="Q145" s="76"/>
    </row>
    <row r="146" spans="1:17" s="91" customFormat="1" ht="12" customHeight="1" x14ac:dyDescent="0.3">
      <c r="A146" s="76"/>
      <c r="B146" s="223"/>
      <c r="C146" s="76"/>
      <c r="D146" s="76"/>
      <c r="E146" s="76"/>
      <c r="F146" s="76"/>
      <c r="G146" s="76"/>
      <c r="H146" s="76"/>
      <c r="I146" s="76"/>
      <c r="J146" s="214"/>
      <c r="K146" s="157"/>
      <c r="L146" s="76"/>
      <c r="M146" s="78"/>
      <c r="N146" s="76"/>
      <c r="O146" s="76"/>
      <c r="P146" s="76"/>
      <c r="Q146" s="76"/>
    </row>
    <row r="147" spans="1:17" s="91" customFormat="1" ht="12" customHeight="1" x14ac:dyDescent="0.3">
      <c r="A147" s="76"/>
      <c r="B147" s="223"/>
      <c r="C147" s="76"/>
      <c r="D147" s="76"/>
      <c r="E147" s="76"/>
      <c r="F147" s="76"/>
      <c r="G147" s="76"/>
      <c r="H147" s="76"/>
      <c r="I147" s="76"/>
      <c r="J147" s="214"/>
      <c r="K147" s="157"/>
      <c r="L147" s="76"/>
      <c r="M147" s="78"/>
      <c r="N147" s="76"/>
      <c r="O147" s="76"/>
      <c r="P147" s="76"/>
      <c r="Q147" s="76"/>
    </row>
    <row r="148" spans="1:17" s="91" customFormat="1" ht="12" customHeight="1" x14ac:dyDescent="0.3">
      <c r="A148" s="76"/>
      <c r="B148" s="223"/>
      <c r="C148" s="76"/>
      <c r="D148" s="76"/>
      <c r="E148" s="76"/>
      <c r="F148" s="76"/>
      <c r="G148" s="76"/>
      <c r="H148" s="76"/>
      <c r="I148" s="76"/>
      <c r="J148" s="214"/>
      <c r="K148" s="157"/>
      <c r="L148" s="76"/>
      <c r="M148" s="78"/>
      <c r="N148" s="76"/>
      <c r="O148" s="76"/>
      <c r="P148" s="76"/>
      <c r="Q148" s="76"/>
    </row>
    <row r="149" spans="1:17" s="91" customFormat="1" ht="12" customHeight="1" x14ac:dyDescent="0.3">
      <c r="A149" s="76"/>
      <c r="B149" s="223"/>
      <c r="C149" s="76"/>
      <c r="D149" s="76"/>
      <c r="E149" s="76"/>
      <c r="F149" s="76"/>
      <c r="G149" s="76"/>
      <c r="H149" s="76"/>
      <c r="I149" s="76"/>
      <c r="J149" s="214"/>
      <c r="K149" s="157"/>
      <c r="L149" s="76"/>
      <c r="M149" s="78"/>
      <c r="N149" s="76"/>
      <c r="O149" s="76"/>
      <c r="P149" s="76"/>
      <c r="Q149" s="76"/>
    </row>
    <row r="150" spans="1:17" s="91" customFormat="1" ht="12" customHeight="1" x14ac:dyDescent="0.3">
      <c r="A150" s="76"/>
      <c r="B150" s="223"/>
      <c r="C150" s="76"/>
      <c r="D150" s="76"/>
      <c r="E150" s="76"/>
      <c r="F150" s="76"/>
      <c r="G150" s="76"/>
      <c r="H150" s="76"/>
      <c r="I150" s="76"/>
      <c r="J150" s="214"/>
      <c r="K150" s="157"/>
      <c r="L150" s="76"/>
      <c r="M150" s="78"/>
      <c r="N150" s="76"/>
      <c r="O150" s="76"/>
      <c r="P150" s="76"/>
      <c r="Q150" s="76"/>
    </row>
    <row r="151" spans="1:17" s="91" customFormat="1" ht="12" customHeight="1" x14ac:dyDescent="0.3">
      <c r="A151" s="76"/>
      <c r="B151" s="223"/>
      <c r="C151" s="76"/>
      <c r="D151" s="76"/>
      <c r="E151" s="76"/>
      <c r="F151" s="76"/>
      <c r="G151" s="76"/>
      <c r="H151" s="76"/>
      <c r="I151" s="76"/>
      <c r="J151" s="214"/>
      <c r="K151" s="157"/>
      <c r="L151" s="76"/>
      <c r="M151" s="78"/>
      <c r="N151" s="76"/>
      <c r="O151" s="76"/>
      <c r="P151" s="76"/>
      <c r="Q151" s="76"/>
    </row>
    <row r="152" spans="1:17" s="91" customFormat="1" ht="12" customHeight="1" x14ac:dyDescent="0.3">
      <c r="A152" s="76"/>
      <c r="B152" s="223"/>
      <c r="C152" s="76"/>
      <c r="D152" s="76"/>
      <c r="E152" s="76"/>
      <c r="F152" s="76"/>
      <c r="G152" s="76"/>
      <c r="H152" s="76"/>
      <c r="I152" s="76"/>
      <c r="J152" s="214"/>
      <c r="K152" s="157"/>
      <c r="L152" s="76"/>
      <c r="M152" s="78"/>
      <c r="N152" s="76"/>
      <c r="O152" s="76"/>
      <c r="P152" s="76"/>
      <c r="Q152" s="76"/>
    </row>
    <row r="153" spans="1:17" s="91" customFormat="1" ht="12" customHeight="1" x14ac:dyDescent="0.3">
      <c r="A153" s="76"/>
      <c r="B153" s="223"/>
      <c r="C153" s="76"/>
      <c r="D153" s="76"/>
      <c r="E153" s="76"/>
      <c r="F153" s="76"/>
      <c r="G153" s="76"/>
      <c r="H153" s="76"/>
      <c r="I153" s="76"/>
      <c r="J153" s="214"/>
      <c r="K153" s="157"/>
      <c r="L153" s="76"/>
      <c r="M153" s="78"/>
      <c r="N153" s="76"/>
      <c r="O153" s="76"/>
      <c r="P153" s="76"/>
      <c r="Q153" s="76"/>
    </row>
    <row r="154" spans="1:17" s="91" customFormat="1" ht="12" customHeight="1" x14ac:dyDescent="0.3">
      <c r="A154" s="76"/>
      <c r="B154" s="223"/>
      <c r="C154" s="76"/>
      <c r="D154" s="76"/>
      <c r="E154" s="76"/>
      <c r="F154" s="76"/>
      <c r="G154" s="76"/>
      <c r="H154" s="76"/>
      <c r="I154" s="76"/>
      <c r="J154" s="214"/>
      <c r="K154" s="157"/>
      <c r="L154" s="76"/>
      <c r="M154" s="78"/>
      <c r="N154" s="76"/>
      <c r="O154" s="76"/>
      <c r="P154" s="76"/>
      <c r="Q154" s="76"/>
    </row>
    <row r="155" spans="1:17" s="91" customFormat="1" ht="12" customHeight="1" x14ac:dyDescent="0.3">
      <c r="A155" s="76"/>
      <c r="B155" s="223"/>
      <c r="C155" s="76"/>
      <c r="D155" s="76"/>
      <c r="E155" s="76"/>
      <c r="F155" s="76"/>
      <c r="G155" s="76"/>
      <c r="H155" s="76"/>
      <c r="I155" s="76"/>
      <c r="J155" s="214"/>
      <c r="K155" s="157"/>
      <c r="L155" s="76"/>
      <c r="M155" s="78"/>
      <c r="N155" s="76"/>
      <c r="O155" s="76"/>
      <c r="P155" s="76"/>
      <c r="Q155" s="76"/>
    </row>
    <row r="156" spans="1:17" s="91" customFormat="1" ht="12" customHeight="1" x14ac:dyDescent="0.3">
      <c r="A156" s="76"/>
      <c r="B156" s="223"/>
      <c r="C156" s="76"/>
      <c r="D156" s="76"/>
      <c r="E156" s="76"/>
      <c r="F156" s="76"/>
      <c r="G156" s="76"/>
      <c r="H156" s="76"/>
      <c r="I156" s="76"/>
      <c r="J156" s="214"/>
      <c r="K156" s="157"/>
      <c r="L156" s="76"/>
      <c r="M156" s="78"/>
      <c r="N156" s="76"/>
      <c r="O156" s="76"/>
      <c r="P156" s="76"/>
      <c r="Q156" s="76"/>
    </row>
    <row r="157" spans="1:17" s="91" customFormat="1" ht="12" customHeight="1" x14ac:dyDescent="0.3">
      <c r="A157" s="76"/>
      <c r="B157" s="223"/>
      <c r="C157" s="76"/>
      <c r="D157" s="76"/>
      <c r="E157" s="76"/>
      <c r="F157" s="76"/>
      <c r="G157" s="76"/>
      <c r="H157" s="76"/>
      <c r="I157" s="76"/>
      <c r="J157" s="214"/>
      <c r="K157" s="157"/>
      <c r="L157" s="76"/>
      <c r="M157" s="78"/>
      <c r="N157" s="76"/>
      <c r="O157" s="76"/>
      <c r="P157" s="76"/>
      <c r="Q157" s="76"/>
    </row>
    <row r="158" spans="1:17" s="91" customFormat="1" ht="12" customHeight="1" x14ac:dyDescent="0.3">
      <c r="A158" s="76"/>
      <c r="B158" s="223"/>
      <c r="C158" s="76"/>
      <c r="D158" s="76"/>
      <c r="E158" s="76"/>
      <c r="F158" s="76"/>
      <c r="G158" s="76"/>
      <c r="H158" s="76"/>
      <c r="I158" s="76"/>
      <c r="J158" s="214"/>
      <c r="K158" s="157"/>
      <c r="L158" s="76"/>
      <c r="M158" s="78"/>
      <c r="N158" s="76"/>
      <c r="O158" s="76"/>
      <c r="P158" s="76"/>
      <c r="Q158" s="76"/>
    </row>
    <row r="159" spans="1:17" s="91" customFormat="1" ht="12" customHeight="1" x14ac:dyDescent="0.3">
      <c r="A159" s="76"/>
      <c r="B159" s="223"/>
      <c r="C159" s="76"/>
      <c r="D159" s="76"/>
      <c r="E159" s="76"/>
      <c r="F159" s="76"/>
      <c r="G159" s="76"/>
      <c r="H159" s="76"/>
      <c r="I159" s="76"/>
      <c r="J159" s="214"/>
      <c r="K159" s="157"/>
      <c r="L159" s="76"/>
      <c r="M159" s="78"/>
      <c r="N159" s="76"/>
      <c r="O159" s="76"/>
      <c r="P159" s="76"/>
      <c r="Q159" s="76"/>
    </row>
    <row r="160" spans="1:17" s="91" customFormat="1" ht="12" customHeight="1" x14ac:dyDescent="0.3">
      <c r="A160" s="76"/>
      <c r="B160" s="223"/>
      <c r="C160" s="76"/>
      <c r="D160" s="76"/>
      <c r="E160" s="76"/>
      <c r="F160" s="76"/>
      <c r="G160" s="76"/>
      <c r="H160" s="76"/>
      <c r="I160" s="76"/>
      <c r="J160" s="214"/>
      <c r="K160" s="157"/>
      <c r="L160" s="76"/>
      <c r="M160" s="78"/>
      <c r="N160" s="76"/>
      <c r="O160" s="76"/>
      <c r="P160" s="76"/>
      <c r="Q160" s="76"/>
    </row>
    <row r="161" spans="1:17" s="91" customFormat="1" ht="12" customHeight="1" x14ac:dyDescent="0.3">
      <c r="A161" s="76"/>
      <c r="B161" s="223"/>
      <c r="C161" s="76"/>
      <c r="D161" s="76"/>
      <c r="E161" s="76"/>
      <c r="F161" s="76"/>
      <c r="G161" s="76"/>
      <c r="H161" s="76"/>
      <c r="I161" s="76"/>
      <c r="J161" s="214"/>
      <c r="K161" s="157"/>
      <c r="L161" s="76"/>
      <c r="M161" s="78"/>
      <c r="N161" s="76"/>
      <c r="O161" s="76"/>
      <c r="P161" s="76"/>
      <c r="Q161" s="76"/>
    </row>
    <row r="162" spans="1:17" s="91" customFormat="1" ht="12" customHeight="1" x14ac:dyDescent="0.3">
      <c r="A162" s="76"/>
      <c r="B162" s="223"/>
      <c r="C162" s="76"/>
      <c r="D162" s="76"/>
      <c r="E162" s="76"/>
      <c r="F162" s="76"/>
      <c r="G162" s="76"/>
      <c r="H162" s="76"/>
      <c r="I162" s="76"/>
      <c r="J162" s="214"/>
      <c r="K162" s="157"/>
      <c r="L162" s="76"/>
      <c r="M162" s="78"/>
      <c r="N162" s="76"/>
      <c r="O162" s="76"/>
      <c r="P162" s="76"/>
      <c r="Q162" s="76"/>
    </row>
    <row r="163" spans="1:17" s="91" customFormat="1" ht="12" customHeight="1" x14ac:dyDescent="0.3">
      <c r="A163" s="76"/>
      <c r="B163" s="223"/>
      <c r="C163" s="76"/>
      <c r="D163" s="76"/>
      <c r="E163" s="76"/>
      <c r="F163" s="76"/>
      <c r="G163" s="76"/>
      <c r="H163" s="76"/>
      <c r="I163" s="76"/>
      <c r="J163" s="214"/>
      <c r="K163" s="157"/>
      <c r="L163" s="76"/>
      <c r="M163" s="78"/>
      <c r="N163" s="76"/>
      <c r="O163" s="76"/>
      <c r="P163" s="76"/>
      <c r="Q163" s="76"/>
    </row>
    <row r="164" spans="1:17" s="91" customFormat="1" ht="12" customHeight="1" x14ac:dyDescent="0.3">
      <c r="A164" s="76"/>
      <c r="B164" s="223"/>
      <c r="C164" s="76"/>
      <c r="D164" s="76"/>
      <c r="E164" s="76"/>
      <c r="F164" s="76"/>
      <c r="G164" s="76"/>
      <c r="H164" s="76"/>
      <c r="I164" s="76"/>
      <c r="J164" s="214"/>
      <c r="K164" s="157"/>
      <c r="L164" s="76"/>
      <c r="M164" s="78"/>
      <c r="N164" s="76"/>
      <c r="O164" s="76"/>
      <c r="P164" s="76"/>
      <c r="Q164" s="76"/>
    </row>
    <row r="165" spans="1:17" s="91" customFormat="1" ht="12" customHeight="1" x14ac:dyDescent="0.3">
      <c r="A165" s="76"/>
      <c r="B165" s="223"/>
      <c r="C165" s="76"/>
      <c r="D165" s="76"/>
      <c r="E165" s="76"/>
      <c r="F165" s="76"/>
      <c r="G165" s="76"/>
      <c r="H165" s="76"/>
      <c r="I165" s="76"/>
      <c r="J165" s="214"/>
      <c r="K165" s="157"/>
      <c r="L165" s="76"/>
      <c r="M165" s="78"/>
      <c r="N165" s="76"/>
      <c r="O165" s="76"/>
      <c r="P165" s="76"/>
      <c r="Q165" s="76"/>
    </row>
    <row r="166" spans="1:17" s="91" customFormat="1" ht="12" customHeight="1" x14ac:dyDescent="0.3">
      <c r="A166" s="76"/>
      <c r="B166" s="223"/>
      <c r="C166" s="76"/>
      <c r="D166" s="76"/>
      <c r="E166" s="76"/>
      <c r="F166" s="76"/>
      <c r="G166" s="76"/>
      <c r="H166" s="76"/>
      <c r="I166" s="76"/>
      <c r="J166" s="214"/>
      <c r="K166" s="157"/>
      <c r="L166" s="76"/>
      <c r="M166" s="78"/>
      <c r="N166" s="76"/>
      <c r="O166" s="76"/>
      <c r="P166" s="76"/>
      <c r="Q166" s="76"/>
    </row>
    <row r="167" spans="1:17" s="91" customFormat="1" ht="10.5" customHeight="1" x14ac:dyDescent="0.3">
      <c r="A167" s="76"/>
      <c r="B167" s="223"/>
      <c r="C167" s="76"/>
      <c r="D167" s="76"/>
      <c r="E167" s="76"/>
      <c r="F167" s="76"/>
      <c r="G167" s="76"/>
      <c r="H167" s="76"/>
      <c r="I167" s="76"/>
      <c r="J167" s="214"/>
      <c r="K167" s="157"/>
      <c r="L167" s="76"/>
      <c r="M167" s="78"/>
      <c r="N167" s="76"/>
      <c r="O167" s="76"/>
      <c r="P167" s="76"/>
      <c r="Q167" s="76"/>
    </row>
    <row r="168" spans="1:17" s="91" customFormat="1" ht="12" customHeight="1" x14ac:dyDescent="0.3">
      <c r="A168" s="76"/>
      <c r="B168" s="223"/>
      <c r="C168" s="76"/>
      <c r="D168" s="76"/>
      <c r="E168" s="76"/>
      <c r="F168" s="76"/>
      <c r="G168" s="76"/>
      <c r="H168" s="76"/>
      <c r="I168" s="76"/>
      <c r="J168" s="214"/>
      <c r="K168" s="157"/>
      <c r="L168" s="76"/>
      <c r="M168" s="78"/>
      <c r="N168" s="76"/>
      <c r="O168" s="76"/>
      <c r="P168" s="76"/>
      <c r="Q168" s="76"/>
    </row>
    <row r="169" spans="1:17" s="91" customFormat="1" ht="12" customHeight="1" x14ac:dyDescent="0.3">
      <c r="A169" s="76"/>
      <c r="B169" s="223"/>
      <c r="C169" s="76"/>
      <c r="D169" s="76"/>
      <c r="E169" s="76"/>
      <c r="F169" s="76"/>
      <c r="G169" s="76"/>
      <c r="H169" s="76"/>
      <c r="I169" s="76"/>
      <c r="J169" s="214"/>
      <c r="K169" s="157"/>
      <c r="L169" s="76"/>
      <c r="M169" s="78"/>
      <c r="N169" s="76"/>
      <c r="O169" s="76"/>
      <c r="P169" s="76"/>
      <c r="Q169" s="76"/>
    </row>
    <row r="170" spans="1:17" s="91" customFormat="1" ht="12" customHeight="1" x14ac:dyDescent="0.3">
      <c r="A170" s="76"/>
      <c r="B170" s="223"/>
      <c r="C170" s="76"/>
      <c r="D170" s="76"/>
      <c r="E170" s="76"/>
      <c r="F170" s="76"/>
      <c r="G170" s="76"/>
      <c r="H170" s="76"/>
      <c r="I170" s="76"/>
      <c r="J170" s="214"/>
      <c r="K170" s="157"/>
      <c r="L170" s="76"/>
      <c r="M170" s="78"/>
      <c r="N170" s="76"/>
      <c r="O170" s="76"/>
      <c r="P170" s="76"/>
      <c r="Q170" s="76"/>
    </row>
    <row r="171" spans="1:17" s="91" customFormat="1" ht="12" customHeight="1" x14ac:dyDescent="0.3">
      <c r="A171" s="76"/>
      <c r="B171" s="223"/>
      <c r="C171" s="76"/>
      <c r="D171" s="76"/>
      <c r="E171" s="76"/>
      <c r="F171" s="76"/>
      <c r="G171" s="76"/>
      <c r="H171" s="76"/>
      <c r="I171" s="76"/>
      <c r="J171" s="214"/>
      <c r="K171" s="157"/>
      <c r="L171" s="76"/>
      <c r="M171" s="78"/>
      <c r="N171" s="76"/>
      <c r="O171" s="76"/>
      <c r="P171" s="76"/>
      <c r="Q171" s="76"/>
    </row>
    <row r="172" spans="1:17" s="91" customFormat="1" ht="12" customHeight="1" x14ac:dyDescent="0.3">
      <c r="A172" s="76"/>
      <c r="B172" s="223"/>
      <c r="C172" s="76"/>
      <c r="D172" s="76"/>
      <c r="E172" s="76"/>
      <c r="F172" s="76"/>
      <c r="G172" s="76"/>
      <c r="H172" s="76"/>
      <c r="I172" s="76"/>
      <c r="J172" s="214"/>
      <c r="K172" s="157"/>
      <c r="L172" s="76"/>
      <c r="M172" s="78"/>
      <c r="N172" s="76"/>
      <c r="O172" s="76"/>
      <c r="P172" s="76"/>
      <c r="Q172" s="76"/>
    </row>
    <row r="173" spans="1:17" s="91" customFormat="1" ht="12" customHeight="1" x14ac:dyDescent="0.3">
      <c r="A173" s="76"/>
      <c r="B173" s="223"/>
      <c r="C173" s="76"/>
      <c r="D173" s="76"/>
      <c r="E173" s="76"/>
      <c r="F173" s="76"/>
      <c r="G173" s="76"/>
      <c r="H173" s="76"/>
      <c r="I173" s="76"/>
      <c r="J173" s="214"/>
      <c r="K173" s="157"/>
      <c r="L173" s="76"/>
      <c r="M173" s="78"/>
      <c r="N173" s="76"/>
      <c r="O173" s="76"/>
      <c r="P173" s="76"/>
      <c r="Q173" s="76"/>
    </row>
    <row r="174" spans="1:17" s="91" customFormat="1" ht="12" customHeight="1" x14ac:dyDescent="0.3">
      <c r="A174" s="76"/>
      <c r="B174" s="223"/>
      <c r="C174" s="76"/>
      <c r="D174" s="76"/>
      <c r="E174" s="76"/>
      <c r="F174" s="76"/>
      <c r="G174" s="76"/>
      <c r="H174" s="76"/>
      <c r="I174" s="76"/>
      <c r="J174" s="214"/>
      <c r="K174" s="157"/>
      <c r="L174" s="76"/>
      <c r="M174" s="78"/>
      <c r="N174" s="76"/>
      <c r="O174" s="76"/>
      <c r="P174" s="76"/>
      <c r="Q174" s="76"/>
    </row>
    <row r="175" spans="1:17" s="91" customFormat="1" ht="12" customHeight="1" x14ac:dyDescent="0.3">
      <c r="A175" s="76"/>
      <c r="B175" s="223"/>
      <c r="C175" s="76"/>
      <c r="D175" s="76"/>
      <c r="E175" s="76"/>
      <c r="F175" s="76"/>
      <c r="G175" s="76"/>
      <c r="H175" s="76"/>
      <c r="I175" s="76"/>
      <c r="J175" s="214"/>
      <c r="K175" s="157"/>
      <c r="L175" s="76"/>
      <c r="M175" s="78"/>
      <c r="N175" s="76"/>
      <c r="O175" s="76"/>
      <c r="P175" s="76"/>
      <c r="Q175" s="76"/>
    </row>
    <row r="176" spans="1:17" s="91" customFormat="1" ht="12" customHeight="1" x14ac:dyDescent="0.3">
      <c r="A176" s="76"/>
      <c r="B176" s="223"/>
      <c r="C176" s="76"/>
      <c r="D176" s="76"/>
      <c r="E176" s="76"/>
      <c r="F176" s="76"/>
      <c r="G176" s="76"/>
      <c r="H176" s="76"/>
      <c r="I176" s="76"/>
      <c r="J176" s="214"/>
      <c r="K176" s="157"/>
      <c r="L176" s="76"/>
      <c r="M176" s="78"/>
      <c r="N176" s="76"/>
      <c r="O176" s="76"/>
      <c r="P176" s="76"/>
      <c r="Q176" s="76"/>
    </row>
    <row r="177" spans="1:17" s="91" customFormat="1" ht="12" customHeight="1" x14ac:dyDescent="0.3">
      <c r="A177" s="76"/>
      <c r="B177" s="223"/>
      <c r="C177" s="76"/>
      <c r="D177" s="76"/>
      <c r="E177" s="76"/>
      <c r="F177" s="76"/>
      <c r="G177" s="76"/>
      <c r="H177" s="76"/>
      <c r="I177" s="76"/>
      <c r="J177" s="214"/>
      <c r="K177" s="157"/>
      <c r="L177" s="76"/>
      <c r="M177" s="78"/>
      <c r="N177" s="76"/>
      <c r="O177" s="76"/>
      <c r="P177" s="76"/>
      <c r="Q177" s="76"/>
    </row>
    <row r="178" spans="1:17" s="91" customFormat="1" ht="12" customHeight="1" x14ac:dyDescent="0.3">
      <c r="A178" s="76"/>
      <c r="B178" s="223"/>
      <c r="C178" s="76"/>
      <c r="D178" s="76"/>
      <c r="E178" s="76"/>
      <c r="F178" s="76"/>
      <c r="G178" s="76"/>
      <c r="H178" s="76"/>
      <c r="I178" s="76"/>
      <c r="J178" s="214"/>
      <c r="K178" s="157"/>
      <c r="L178" s="76"/>
      <c r="M178" s="78"/>
      <c r="N178" s="76"/>
      <c r="O178" s="76"/>
      <c r="P178" s="76"/>
      <c r="Q178" s="76"/>
    </row>
    <row r="179" spans="1:17" s="91" customFormat="1" ht="12" customHeight="1" x14ac:dyDescent="0.3">
      <c r="A179" s="76"/>
      <c r="B179" s="223"/>
      <c r="C179" s="76"/>
      <c r="D179" s="76"/>
      <c r="E179" s="76"/>
      <c r="F179" s="76"/>
      <c r="G179" s="76"/>
      <c r="H179" s="76"/>
      <c r="I179" s="76"/>
      <c r="J179" s="214"/>
      <c r="K179" s="157"/>
      <c r="L179" s="76"/>
      <c r="M179" s="78"/>
      <c r="N179" s="76"/>
      <c r="O179" s="76"/>
      <c r="P179" s="76"/>
      <c r="Q179" s="76"/>
    </row>
    <row r="180" spans="1:17" s="91" customFormat="1" ht="12" customHeight="1" x14ac:dyDescent="0.3">
      <c r="A180" s="76"/>
      <c r="B180" s="223"/>
      <c r="C180" s="76"/>
      <c r="D180" s="76"/>
      <c r="E180" s="76"/>
      <c r="F180" s="76"/>
      <c r="G180" s="76"/>
      <c r="H180" s="76"/>
      <c r="I180" s="76"/>
      <c r="J180" s="214"/>
      <c r="K180" s="157"/>
      <c r="L180" s="76"/>
      <c r="M180" s="78"/>
      <c r="N180" s="76"/>
      <c r="O180" s="76"/>
      <c r="P180" s="76"/>
      <c r="Q180" s="76"/>
    </row>
    <row r="181" spans="1:17" s="91" customFormat="1" ht="12" customHeight="1" x14ac:dyDescent="0.3">
      <c r="A181" s="76"/>
      <c r="B181" s="223"/>
      <c r="C181" s="76"/>
      <c r="D181" s="76"/>
      <c r="E181" s="76"/>
      <c r="F181" s="76"/>
      <c r="G181" s="76"/>
      <c r="H181" s="76"/>
      <c r="I181" s="76"/>
      <c r="J181" s="214"/>
      <c r="K181" s="157"/>
      <c r="L181" s="76"/>
      <c r="M181" s="78"/>
      <c r="N181" s="76"/>
      <c r="O181" s="76"/>
      <c r="P181" s="76"/>
      <c r="Q181" s="76"/>
    </row>
    <row r="182" spans="1:17" s="91" customFormat="1" ht="12" customHeight="1" x14ac:dyDescent="0.3">
      <c r="A182" s="76"/>
      <c r="B182" s="223"/>
      <c r="C182" s="76"/>
      <c r="D182" s="76"/>
      <c r="E182" s="76"/>
      <c r="F182" s="76"/>
      <c r="G182" s="76"/>
      <c r="H182" s="76"/>
      <c r="I182" s="76"/>
      <c r="J182" s="214"/>
      <c r="K182" s="157"/>
      <c r="L182" s="76"/>
      <c r="M182" s="78"/>
      <c r="N182" s="76"/>
      <c r="O182" s="76"/>
      <c r="P182" s="76"/>
      <c r="Q182" s="76"/>
    </row>
    <row r="183" spans="1:17" s="91" customFormat="1" ht="12" customHeight="1" x14ac:dyDescent="0.3">
      <c r="A183" s="76"/>
      <c r="B183" s="223"/>
      <c r="C183" s="76"/>
      <c r="D183" s="76"/>
      <c r="E183" s="76"/>
      <c r="F183" s="76"/>
      <c r="G183" s="76"/>
      <c r="H183" s="76"/>
      <c r="I183" s="76"/>
      <c r="J183" s="214"/>
      <c r="K183" s="157"/>
      <c r="L183" s="76"/>
      <c r="M183" s="78"/>
      <c r="N183" s="76"/>
      <c r="O183" s="76"/>
      <c r="P183" s="76"/>
      <c r="Q183" s="76"/>
    </row>
    <row r="184" spans="1:17" s="91" customFormat="1" ht="12" customHeight="1" x14ac:dyDescent="0.3">
      <c r="A184" s="76"/>
      <c r="B184" s="223"/>
      <c r="C184" s="76"/>
      <c r="D184" s="76"/>
      <c r="E184" s="76"/>
      <c r="F184" s="76"/>
      <c r="G184" s="76"/>
      <c r="H184" s="76"/>
      <c r="I184" s="76"/>
      <c r="J184" s="214"/>
      <c r="K184" s="157"/>
      <c r="L184" s="76"/>
      <c r="M184" s="78"/>
      <c r="N184" s="76"/>
      <c r="O184" s="76"/>
      <c r="P184" s="76"/>
      <c r="Q184" s="76"/>
    </row>
    <row r="185" spans="1:17" s="91" customFormat="1" ht="12" customHeight="1" x14ac:dyDescent="0.3">
      <c r="A185" s="76"/>
      <c r="B185" s="223"/>
      <c r="C185" s="76"/>
      <c r="D185" s="76"/>
      <c r="E185" s="76"/>
      <c r="F185" s="76"/>
      <c r="G185" s="76"/>
      <c r="H185" s="76"/>
      <c r="I185" s="76"/>
      <c r="J185" s="214"/>
      <c r="K185" s="157"/>
      <c r="L185" s="76"/>
      <c r="M185" s="78"/>
      <c r="N185" s="76"/>
      <c r="O185" s="76"/>
      <c r="P185" s="76"/>
      <c r="Q185" s="76"/>
    </row>
    <row r="186" spans="1:17" s="91" customFormat="1" ht="12" customHeight="1" x14ac:dyDescent="0.3">
      <c r="A186" s="76"/>
      <c r="B186" s="223"/>
      <c r="C186" s="76"/>
      <c r="D186" s="76"/>
      <c r="E186" s="76"/>
      <c r="F186" s="76"/>
      <c r="G186" s="76"/>
      <c r="H186" s="76"/>
      <c r="I186" s="76"/>
      <c r="J186" s="214"/>
      <c r="K186" s="157"/>
      <c r="L186" s="76"/>
      <c r="M186" s="78"/>
      <c r="N186" s="76"/>
      <c r="O186" s="76"/>
      <c r="P186" s="76"/>
      <c r="Q186" s="76"/>
    </row>
    <row r="187" spans="1:17" s="91" customFormat="1" ht="12" customHeight="1" x14ac:dyDescent="0.3">
      <c r="A187" s="76"/>
      <c r="B187" s="223"/>
      <c r="C187" s="76"/>
      <c r="D187" s="76"/>
      <c r="E187" s="76"/>
      <c r="F187" s="76"/>
      <c r="G187" s="76"/>
      <c r="H187" s="76"/>
      <c r="I187" s="76"/>
      <c r="J187" s="214"/>
      <c r="K187" s="157"/>
      <c r="L187" s="76"/>
      <c r="M187" s="78"/>
      <c r="N187" s="76"/>
      <c r="O187" s="76"/>
      <c r="P187" s="76"/>
      <c r="Q187" s="76"/>
    </row>
    <row r="188" spans="1:17" s="91" customFormat="1" ht="12" customHeight="1" x14ac:dyDescent="0.3">
      <c r="A188" s="76"/>
      <c r="B188" s="223"/>
      <c r="C188" s="76"/>
      <c r="D188" s="76"/>
      <c r="E188" s="76"/>
      <c r="F188" s="76"/>
      <c r="G188" s="76"/>
      <c r="H188" s="76"/>
      <c r="I188" s="76"/>
      <c r="J188" s="214"/>
      <c r="K188" s="157"/>
      <c r="L188" s="76"/>
      <c r="M188" s="78"/>
      <c r="N188" s="76"/>
      <c r="O188" s="76"/>
      <c r="P188" s="76"/>
      <c r="Q188" s="76"/>
    </row>
    <row r="189" spans="1:17" s="91" customFormat="1" ht="12" customHeight="1" x14ac:dyDescent="0.3">
      <c r="A189" s="76"/>
      <c r="B189" s="223"/>
      <c r="C189" s="76"/>
      <c r="D189" s="76"/>
      <c r="E189" s="76"/>
      <c r="F189" s="76"/>
      <c r="G189" s="76"/>
      <c r="H189" s="76"/>
      <c r="I189" s="76"/>
      <c r="J189" s="214"/>
      <c r="K189" s="157"/>
      <c r="L189" s="76"/>
      <c r="M189" s="78"/>
      <c r="N189" s="76"/>
      <c r="O189" s="76"/>
      <c r="P189" s="76"/>
      <c r="Q189" s="76"/>
    </row>
    <row r="190" spans="1:17" s="91" customFormat="1" ht="12" customHeight="1" x14ac:dyDescent="0.3">
      <c r="A190" s="76"/>
      <c r="B190" s="223"/>
      <c r="C190" s="76"/>
      <c r="D190" s="76"/>
      <c r="E190" s="76"/>
      <c r="F190" s="76"/>
      <c r="G190" s="76"/>
      <c r="H190" s="76"/>
      <c r="I190" s="76"/>
      <c r="J190" s="214"/>
      <c r="K190" s="157"/>
      <c r="L190" s="76"/>
      <c r="M190" s="78"/>
      <c r="N190" s="76"/>
      <c r="O190" s="76"/>
      <c r="P190" s="76"/>
      <c r="Q190" s="76"/>
    </row>
    <row r="191" spans="1:17" s="91" customFormat="1" ht="12" customHeight="1" x14ac:dyDescent="0.3">
      <c r="A191" s="76"/>
      <c r="B191" s="223"/>
      <c r="C191" s="76"/>
      <c r="D191" s="76"/>
      <c r="E191" s="76"/>
      <c r="F191" s="76"/>
      <c r="G191" s="76"/>
      <c r="H191" s="76"/>
      <c r="I191" s="76"/>
      <c r="J191" s="214"/>
      <c r="K191" s="157"/>
      <c r="L191" s="76"/>
      <c r="M191" s="78"/>
      <c r="N191" s="76"/>
      <c r="O191" s="76"/>
      <c r="P191" s="76"/>
      <c r="Q191" s="76"/>
    </row>
    <row r="192" spans="1:17" s="91" customFormat="1" ht="12" customHeight="1" x14ac:dyDescent="0.3">
      <c r="A192" s="76"/>
      <c r="B192" s="223"/>
      <c r="C192" s="76"/>
      <c r="D192" s="76"/>
      <c r="E192" s="76"/>
      <c r="F192" s="76"/>
      <c r="G192" s="76"/>
      <c r="H192" s="76"/>
      <c r="I192" s="76"/>
      <c r="J192" s="214"/>
      <c r="K192" s="157"/>
      <c r="L192" s="76"/>
      <c r="M192" s="78"/>
      <c r="N192" s="76"/>
      <c r="O192" s="76"/>
      <c r="P192" s="76"/>
      <c r="Q192" s="76"/>
    </row>
    <row r="193" spans="1:17" s="91" customFormat="1" ht="12" customHeight="1" x14ac:dyDescent="0.3">
      <c r="A193" s="76"/>
      <c r="B193" s="223"/>
      <c r="C193" s="76"/>
      <c r="D193" s="76"/>
      <c r="E193" s="76"/>
      <c r="F193" s="76"/>
      <c r="G193" s="76"/>
      <c r="H193" s="76"/>
      <c r="I193" s="76"/>
      <c r="J193" s="214"/>
      <c r="K193" s="157"/>
      <c r="L193" s="76"/>
      <c r="M193" s="78"/>
      <c r="N193" s="76"/>
      <c r="O193" s="76"/>
      <c r="P193" s="76"/>
      <c r="Q193" s="76"/>
    </row>
    <row r="194" spans="1:17" s="91" customFormat="1" ht="12" customHeight="1" x14ac:dyDescent="0.3">
      <c r="A194" s="76"/>
      <c r="B194" s="223"/>
      <c r="C194" s="76"/>
      <c r="D194" s="76"/>
      <c r="E194" s="76"/>
      <c r="F194" s="76"/>
      <c r="G194" s="76"/>
      <c r="H194" s="76"/>
      <c r="I194" s="76"/>
      <c r="J194" s="214"/>
      <c r="K194" s="157"/>
      <c r="L194" s="76"/>
      <c r="M194" s="78"/>
      <c r="N194" s="76"/>
      <c r="O194" s="76"/>
      <c r="P194" s="76"/>
      <c r="Q194" s="76"/>
    </row>
    <row r="195" spans="1:17" s="91" customFormat="1" ht="12" customHeight="1" x14ac:dyDescent="0.3">
      <c r="A195" s="76"/>
      <c r="B195" s="223"/>
      <c r="C195" s="76"/>
      <c r="D195" s="76"/>
      <c r="E195" s="76"/>
      <c r="F195" s="76"/>
      <c r="G195" s="76"/>
      <c r="H195" s="76"/>
      <c r="I195" s="76"/>
      <c r="J195" s="214"/>
      <c r="K195" s="157"/>
      <c r="L195" s="76"/>
      <c r="M195" s="78"/>
      <c r="N195" s="76"/>
      <c r="O195" s="76"/>
      <c r="P195" s="76"/>
      <c r="Q195" s="76"/>
    </row>
    <row r="196" spans="1:17" s="91" customFormat="1" ht="12" customHeight="1" x14ac:dyDescent="0.3">
      <c r="A196" s="76"/>
      <c r="B196" s="223"/>
      <c r="C196" s="76"/>
      <c r="D196" s="76"/>
      <c r="E196" s="76"/>
      <c r="F196" s="76"/>
      <c r="G196" s="76"/>
      <c r="H196" s="76"/>
      <c r="I196" s="76"/>
      <c r="J196" s="214"/>
      <c r="K196" s="157"/>
      <c r="L196" s="76"/>
      <c r="M196" s="78"/>
      <c r="N196" s="76"/>
      <c r="O196" s="76"/>
      <c r="P196" s="76"/>
      <c r="Q196" s="76"/>
    </row>
    <row r="197" spans="1:17" s="91" customFormat="1" ht="12" customHeight="1" x14ac:dyDescent="0.3">
      <c r="A197" s="76"/>
      <c r="B197" s="223"/>
      <c r="C197" s="76"/>
      <c r="D197" s="76"/>
      <c r="E197" s="76"/>
      <c r="F197" s="76"/>
      <c r="G197" s="76"/>
      <c r="H197" s="76"/>
      <c r="I197" s="76"/>
      <c r="J197" s="214"/>
      <c r="K197" s="157"/>
      <c r="L197" s="76"/>
      <c r="M197" s="78"/>
      <c r="N197" s="76"/>
      <c r="O197" s="76"/>
      <c r="P197" s="76"/>
      <c r="Q197" s="76"/>
    </row>
    <row r="198" spans="1:17" s="91" customFormat="1" ht="12" customHeight="1" x14ac:dyDescent="0.3">
      <c r="A198" s="76"/>
      <c r="B198" s="223"/>
      <c r="C198" s="76"/>
      <c r="D198" s="76"/>
      <c r="E198" s="76"/>
      <c r="F198" s="76"/>
      <c r="G198" s="76"/>
      <c r="H198" s="76"/>
      <c r="I198" s="76"/>
      <c r="J198" s="214"/>
      <c r="K198" s="157"/>
      <c r="L198" s="76"/>
      <c r="M198" s="78"/>
      <c r="N198" s="76"/>
      <c r="O198" s="76"/>
      <c r="P198" s="76"/>
      <c r="Q198" s="76"/>
    </row>
    <row r="199" spans="1:17" s="91" customFormat="1" ht="12" customHeight="1" x14ac:dyDescent="0.3">
      <c r="A199" s="76"/>
      <c r="B199" s="223"/>
      <c r="C199" s="76"/>
      <c r="D199" s="76"/>
      <c r="E199" s="76"/>
      <c r="F199" s="76"/>
      <c r="G199" s="76"/>
      <c r="H199" s="76"/>
      <c r="I199" s="76"/>
      <c r="J199" s="214"/>
      <c r="K199" s="157"/>
      <c r="L199" s="76"/>
      <c r="M199" s="78"/>
      <c r="N199" s="76"/>
      <c r="O199" s="76"/>
      <c r="P199" s="76"/>
      <c r="Q199" s="76"/>
    </row>
    <row r="200" spans="1:17" s="91" customFormat="1" ht="12" customHeight="1" x14ac:dyDescent="0.3">
      <c r="A200" s="76"/>
      <c r="B200" s="223"/>
      <c r="C200" s="76"/>
      <c r="D200" s="76"/>
      <c r="E200" s="76"/>
      <c r="F200" s="76"/>
      <c r="G200" s="76"/>
      <c r="H200" s="76"/>
      <c r="I200" s="76"/>
      <c r="J200" s="214"/>
      <c r="K200" s="157"/>
      <c r="L200" s="76"/>
      <c r="M200" s="78"/>
      <c r="N200" s="76"/>
      <c r="O200" s="76"/>
      <c r="P200" s="76"/>
      <c r="Q200" s="76"/>
    </row>
    <row r="201" spans="1:17" s="91" customFormat="1" ht="12" customHeight="1" x14ac:dyDescent="0.3">
      <c r="A201" s="76"/>
      <c r="B201" s="223"/>
      <c r="C201" s="76"/>
      <c r="D201" s="76"/>
      <c r="E201" s="76"/>
      <c r="F201" s="76"/>
      <c r="G201" s="76"/>
      <c r="H201" s="76"/>
      <c r="I201" s="76"/>
      <c r="J201" s="214"/>
      <c r="K201" s="157"/>
      <c r="L201" s="76"/>
      <c r="M201" s="78"/>
      <c r="N201" s="76"/>
      <c r="O201" s="76"/>
      <c r="P201" s="76"/>
      <c r="Q201" s="76"/>
    </row>
    <row r="202" spans="1:17" s="91" customFormat="1" ht="12" customHeight="1" x14ac:dyDescent="0.3">
      <c r="A202" s="76"/>
      <c r="B202" s="223"/>
      <c r="C202" s="76"/>
      <c r="D202" s="76"/>
      <c r="E202" s="76"/>
      <c r="F202" s="76"/>
      <c r="G202" s="76"/>
      <c r="H202" s="76"/>
      <c r="I202" s="76"/>
      <c r="J202" s="214"/>
      <c r="K202" s="157"/>
      <c r="L202" s="76"/>
      <c r="M202" s="78"/>
      <c r="N202" s="76"/>
      <c r="O202" s="76"/>
      <c r="P202" s="76"/>
      <c r="Q202" s="76"/>
    </row>
    <row r="203" spans="1:17" s="91" customFormat="1" ht="12" customHeight="1" x14ac:dyDescent="0.3">
      <c r="A203" s="76"/>
      <c r="B203" s="223"/>
      <c r="C203" s="76"/>
      <c r="D203" s="76"/>
      <c r="E203" s="76"/>
      <c r="F203" s="76"/>
      <c r="G203" s="76"/>
      <c r="H203" s="76"/>
      <c r="I203" s="76"/>
      <c r="J203" s="214"/>
      <c r="K203" s="157"/>
      <c r="L203" s="76"/>
      <c r="M203" s="78"/>
      <c r="N203" s="76"/>
      <c r="O203" s="76"/>
      <c r="P203" s="76"/>
      <c r="Q203" s="76"/>
    </row>
    <row r="204" spans="1:17" s="91" customFormat="1" ht="12" customHeight="1" x14ac:dyDescent="0.3">
      <c r="A204" s="76"/>
      <c r="B204" s="223"/>
      <c r="C204" s="76"/>
      <c r="D204" s="76"/>
      <c r="E204" s="76"/>
      <c r="F204" s="76"/>
      <c r="G204" s="76"/>
      <c r="H204" s="76"/>
      <c r="I204" s="76"/>
      <c r="J204" s="214"/>
      <c r="K204" s="157"/>
      <c r="L204" s="76"/>
      <c r="M204" s="78"/>
      <c r="N204" s="76"/>
      <c r="O204" s="76"/>
      <c r="P204" s="76"/>
      <c r="Q204" s="76"/>
    </row>
    <row r="205" spans="1:17" s="91" customFormat="1" ht="12" customHeight="1" x14ac:dyDescent="0.3">
      <c r="A205" s="76"/>
      <c r="B205" s="223"/>
      <c r="C205" s="76"/>
      <c r="D205" s="76"/>
      <c r="E205" s="76"/>
      <c r="F205" s="76"/>
      <c r="G205" s="76"/>
      <c r="H205" s="76"/>
      <c r="I205" s="76"/>
      <c r="J205" s="214"/>
      <c r="K205" s="157"/>
      <c r="L205" s="76"/>
      <c r="M205" s="78"/>
      <c r="N205" s="76"/>
      <c r="O205" s="76"/>
      <c r="P205" s="76"/>
      <c r="Q205" s="76"/>
    </row>
    <row r="206" spans="1:17" s="91" customFormat="1" ht="12" customHeight="1" x14ac:dyDescent="0.3">
      <c r="A206" s="76"/>
      <c r="B206" s="223"/>
      <c r="C206" s="76"/>
      <c r="D206" s="76"/>
      <c r="E206" s="76"/>
      <c r="F206" s="76"/>
      <c r="G206" s="76"/>
      <c r="H206" s="76"/>
      <c r="I206" s="76"/>
      <c r="J206" s="214"/>
      <c r="K206" s="157"/>
      <c r="L206" s="76"/>
      <c r="M206" s="78"/>
      <c r="N206" s="76"/>
      <c r="O206" s="76"/>
      <c r="P206" s="76"/>
      <c r="Q206" s="76"/>
    </row>
    <row r="207" spans="1:17" s="91" customFormat="1" ht="12" customHeight="1" x14ac:dyDescent="0.3">
      <c r="A207" s="76"/>
      <c r="B207" s="223"/>
      <c r="C207" s="76"/>
      <c r="D207" s="76"/>
      <c r="E207" s="76"/>
      <c r="F207" s="76"/>
      <c r="G207" s="76"/>
      <c r="H207" s="76"/>
      <c r="I207" s="76"/>
      <c r="J207" s="214"/>
      <c r="K207" s="157"/>
      <c r="L207" s="76"/>
      <c r="M207" s="78"/>
      <c r="N207" s="76"/>
      <c r="O207" s="76"/>
      <c r="P207" s="76"/>
      <c r="Q207" s="76"/>
    </row>
    <row r="208" spans="1:17" s="91" customFormat="1" ht="12" customHeight="1" x14ac:dyDescent="0.3">
      <c r="A208" s="76"/>
      <c r="B208" s="223"/>
      <c r="C208" s="76"/>
      <c r="D208" s="76"/>
      <c r="E208" s="76"/>
      <c r="F208" s="76"/>
      <c r="G208" s="76"/>
      <c r="H208" s="76"/>
      <c r="I208" s="76"/>
      <c r="J208" s="214"/>
      <c r="K208" s="157"/>
      <c r="L208" s="76"/>
      <c r="M208" s="78"/>
      <c r="N208" s="76"/>
      <c r="O208" s="76"/>
      <c r="P208" s="76"/>
      <c r="Q208" s="76"/>
    </row>
    <row r="209" spans="1:17" s="91" customFormat="1" ht="12" customHeight="1" x14ac:dyDescent="0.3">
      <c r="A209" s="76"/>
      <c r="B209" s="223"/>
      <c r="C209" s="76"/>
      <c r="D209" s="76"/>
      <c r="E209" s="76"/>
      <c r="F209" s="76"/>
      <c r="G209" s="76"/>
      <c r="H209" s="76"/>
      <c r="I209" s="76"/>
      <c r="J209" s="214"/>
      <c r="K209" s="157"/>
      <c r="L209" s="76"/>
      <c r="M209" s="78"/>
      <c r="N209" s="76"/>
      <c r="O209" s="76"/>
      <c r="P209" s="76"/>
      <c r="Q209" s="76"/>
    </row>
    <row r="210" spans="1:17" s="91" customFormat="1" ht="12" customHeight="1" x14ac:dyDescent="0.3">
      <c r="A210" s="76"/>
      <c r="B210" s="223"/>
      <c r="C210" s="76"/>
      <c r="D210" s="76"/>
      <c r="E210" s="76"/>
      <c r="F210" s="76"/>
      <c r="G210" s="76"/>
      <c r="H210" s="76"/>
      <c r="I210" s="76"/>
      <c r="J210" s="214"/>
      <c r="K210" s="157"/>
      <c r="L210" s="76"/>
      <c r="M210" s="78"/>
      <c r="N210" s="76"/>
      <c r="O210" s="76"/>
      <c r="P210" s="76"/>
      <c r="Q210" s="76"/>
    </row>
    <row r="211" spans="1:17" s="91" customFormat="1" ht="12" customHeight="1" x14ac:dyDescent="0.3">
      <c r="A211" s="76"/>
      <c r="B211" s="223"/>
      <c r="C211" s="76"/>
      <c r="D211" s="76"/>
      <c r="E211" s="76"/>
      <c r="F211" s="76"/>
      <c r="G211" s="76"/>
      <c r="H211" s="76"/>
      <c r="I211" s="76"/>
      <c r="J211" s="214"/>
      <c r="K211" s="157"/>
      <c r="L211" s="76"/>
      <c r="M211" s="78"/>
      <c r="N211" s="76"/>
      <c r="O211" s="76"/>
      <c r="P211" s="76"/>
      <c r="Q211" s="76"/>
    </row>
    <row r="212" spans="1:17" s="91" customFormat="1" ht="12" customHeight="1" x14ac:dyDescent="0.3">
      <c r="A212" s="76"/>
      <c r="B212" s="223"/>
      <c r="C212" s="76"/>
      <c r="D212" s="76"/>
      <c r="E212" s="76"/>
      <c r="F212" s="76"/>
      <c r="G212" s="76"/>
      <c r="H212" s="76"/>
      <c r="I212" s="76"/>
      <c r="J212" s="214"/>
      <c r="K212" s="157"/>
      <c r="L212" s="76"/>
      <c r="M212" s="78"/>
      <c r="N212" s="76"/>
      <c r="O212" s="76"/>
      <c r="P212" s="76"/>
      <c r="Q212" s="76"/>
    </row>
    <row r="213" spans="1:17" s="91" customFormat="1" ht="12" customHeight="1" x14ac:dyDescent="0.3">
      <c r="A213" s="76"/>
      <c r="B213" s="223"/>
      <c r="C213" s="76"/>
      <c r="D213" s="76"/>
      <c r="E213" s="76"/>
      <c r="F213" s="76"/>
      <c r="G213" s="76"/>
      <c r="H213" s="76"/>
      <c r="I213" s="76"/>
      <c r="J213" s="214"/>
      <c r="K213" s="157"/>
      <c r="L213" s="76"/>
      <c r="M213" s="78"/>
      <c r="N213" s="76"/>
      <c r="O213" s="76"/>
      <c r="P213" s="76"/>
      <c r="Q213" s="76"/>
    </row>
    <row r="214" spans="1:17" s="91" customFormat="1" ht="12" customHeight="1" x14ac:dyDescent="0.3">
      <c r="A214" s="76"/>
      <c r="B214" s="223"/>
      <c r="C214" s="76"/>
      <c r="D214" s="76"/>
      <c r="E214" s="76"/>
      <c r="F214" s="76"/>
      <c r="G214" s="76"/>
      <c r="H214" s="76"/>
      <c r="I214" s="76"/>
      <c r="J214" s="214"/>
      <c r="K214" s="157"/>
      <c r="L214" s="76"/>
      <c r="M214" s="78"/>
      <c r="N214" s="76"/>
      <c r="O214" s="76"/>
      <c r="P214" s="76"/>
      <c r="Q214" s="76"/>
    </row>
    <row r="215" spans="1:17" s="91" customFormat="1" ht="12" customHeight="1" x14ac:dyDescent="0.3">
      <c r="A215" s="76"/>
      <c r="B215" s="223"/>
      <c r="C215" s="76"/>
      <c r="D215" s="76"/>
      <c r="E215" s="76"/>
      <c r="F215" s="76"/>
      <c r="G215" s="76"/>
      <c r="H215" s="76"/>
      <c r="I215" s="76"/>
      <c r="J215" s="214"/>
      <c r="K215" s="157"/>
      <c r="L215" s="76"/>
      <c r="M215" s="78"/>
      <c r="N215" s="76"/>
      <c r="O215" s="76"/>
      <c r="P215" s="76"/>
      <c r="Q215" s="76"/>
    </row>
    <row r="216" spans="1:17" s="91" customFormat="1" ht="12" customHeight="1" x14ac:dyDescent="0.3">
      <c r="A216" s="76"/>
      <c r="B216" s="223"/>
      <c r="C216" s="76"/>
      <c r="D216" s="76"/>
      <c r="E216" s="76"/>
      <c r="F216" s="76"/>
      <c r="G216" s="76"/>
      <c r="H216" s="76"/>
      <c r="I216" s="76"/>
      <c r="J216" s="214"/>
      <c r="K216" s="157"/>
      <c r="L216" s="76"/>
      <c r="M216" s="78"/>
      <c r="N216" s="76"/>
      <c r="O216" s="76"/>
      <c r="P216" s="76"/>
      <c r="Q216" s="76"/>
    </row>
    <row r="217" spans="1:17" s="91" customFormat="1" ht="12" customHeight="1" x14ac:dyDescent="0.3">
      <c r="A217" s="76"/>
      <c r="B217" s="223"/>
      <c r="C217" s="76"/>
      <c r="D217" s="76"/>
      <c r="E217" s="76"/>
      <c r="F217" s="76"/>
      <c r="G217" s="76"/>
      <c r="H217" s="76"/>
      <c r="I217" s="76"/>
      <c r="J217" s="214"/>
      <c r="K217" s="157"/>
      <c r="L217" s="76"/>
      <c r="M217" s="78"/>
      <c r="N217" s="76"/>
      <c r="O217" s="76"/>
      <c r="P217" s="76"/>
      <c r="Q217" s="76"/>
    </row>
    <row r="218" spans="1:17" s="91" customFormat="1" ht="12" customHeight="1" x14ac:dyDescent="0.3">
      <c r="A218" s="76"/>
      <c r="B218" s="223"/>
      <c r="C218" s="76"/>
      <c r="D218" s="76"/>
      <c r="E218" s="76"/>
      <c r="F218" s="76"/>
      <c r="G218" s="76"/>
      <c r="H218" s="76"/>
      <c r="I218" s="76"/>
      <c r="J218" s="214"/>
      <c r="K218" s="157"/>
      <c r="L218" s="76"/>
      <c r="M218" s="78"/>
      <c r="N218" s="76"/>
      <c r="O218" s="76"/>
      <c r="P218" s="76"/>
      <c r="Q218" s="76"/>
    </row>
    <row r="219" spans="1:17" s="91" customFormat="1" ht="13.5" customHeight="1" x14ac:dyDescent="0.3">
      <c r="A219" s="76"/>
      <c r="B219" s="223"/>
      <c r="C219" s="76"/>
      <c r="D219" s="76"/>
      <c r="E219" s="76"/>
      <c r="F219" s="76"/>
      <c r="G219" s="76"/>
      <c r="H219" s="76"/>
      <c r="I219" s="76"/>
      <c r="J219" s="214"/>
      <c r="K219" s="157"/>
      <c r="L219" s="76"/>
      <c r="M219" s="78"/>
      <c r="N219" s="76"/>
      <c r="O219" s="76"/>
      <c r="P219" s="76"/>
      <c r="Q219" s="76"/>
    </row>
    <row r="220" spans="1:17" s="91" customFormat="1" ht="12" customHeight="1" x14ac:dyDescent="0.3">
      <c r="A220" s="76"/>
      <c r="B220" s="223"/>
      <c r="C220" s="76"/>
      <c r="D220" s="76"/>
      <c r="E220" s="76"/>
      <c r="F220" s="76"/>
      <c r="G220" s="76"/>
      <c r="H220" s="76"/>
      <c r="I220" s="76"/>
      <c r="J220" s="214"/>
      <c r="K220" s="157"/>
      <c r="L220" s="76"/>
      <c r="M220" s="78"/>
      <c r="N220" s="76"/>
      <c r="O220" s="76"/>
      <c r="P220" s="76"/>
      <c r="Q220" s="76"/>
    </row>
    <row r="221" spans="1:17" s="91" customFormat="1" ht="12" customHeight="1" x14ac:dyDescent="0.3">
      <c r="A221" s="76"/>
      <c r="B221" s="223"/>
      <c r="C221" s="76"/>
      <c r="D221" s="76"/>
      <c r="E221" s="76"/>
      <c r="F221" s="76"/>
      <c r="G221" s="76"/>
      <c r="H221" s="76"/>
      <c r="I221" s="76"/>
      <c r="J221" s="214"/>
      <c r="K221" s="157"/>
      <c r="L221" s="76"/>
      <c r="M221" s="78"/>
      <c r="N221" s="76"/>
      <c r="O221" s="76"/>
      <c r="P221" s="76"/>
      <c r="Q221" s="76"/>
    </row>
    <row r="222" spans="1:17" s="91" customFormat="1" ht="12" customHeight="1" x14ac:dyDescent="0.3">
      <c r="A222" s="76"/>
      <c r="B222" s="223"/>
      <c r="C222" s="76"/>
      <c r="D222" s="76"/>
      <c r="E222" s="76"/>
      <c r="F222" s="76"/>
      <c r="G222" s="76"/>
      <c r="H222" s="76"/>
      <c r="I222" s="76"/>
      <c r="J222" s="214"/>
      <c r="K222" s="157"/>
      <c r="L222" s="76"/>
      <c r="M222" s="78"/>
      <c r="N222" s="76"/>
      <c r="O222" s="76"/>
      <c r="P222" s="76"/>
      <c r="Q222" s="76"/>
    </row>
    <row r="223" spans="1:17" s="91" customFormat="1" ht="12" customHeight="1" x14ac:dyDescent="0.3">
      <c r="A223" s="76"/>
      <c r="B223" s="223"/>
      <c r="C223" s="76"/>
      <c r="D223" s="76"/>
      <c r="E223" s="76"/>
      <c r="F223" s="76"/>
      <c r="G223" s="76"/>
      <c r="H223" s="76"/>
      <c r="I223" s="76"/>
      <c r="J223" s="214"/>
      <c r="K223" s="157"/>
      <c r="L223" s="76"/>
      <c r="M223" s="78"/>
      <c r="N223" s="76"/>
      <c r="O223" s="76"/>
      <c r="P223" s="76"/>
      <c r="Q223" s="76"/>
    </row>
    <row r="224" spans="1:17" s="91" customFormat="1" ht="12" customHeight="1" x14ac:dyDescent="0.3">
      <c r="A224" s="76"/>
      <c r="B224" s="223"/>
      <c r="C224" s="76"/>
      <c r="D224" s="76"/>
      <c r="E224" s="76"/>
      <c r="F224" s="76"/>
      <c r="G224" s="76"/>
      <c r="H224" s="76"/>
      <c r="I224" s="76"/>
      <c r="J224" s="214"/>
      <c r="K224" s="157"/>
      <c r="L224" s="76"/>
      <c r="M224" s="78"/>
      <c r="N224" s="76"/>
      <c r="O224" s="76"/>
      <c r="P224" s="76"/>
      <c r="Q224" s="76"/>
    </row>
    <row r="225" spans="1:17" s="91" customFormat="1" ht="12" customHeight="1" x14ac:dyDescent="0.3">
      <c r="A225" s="76"/>
      <c r="B225" s="223"/>
      <c r="C225" s="76"/>
      <c r="D225" s="76"/>
      <c r="E225" s="76"/>
      <c r="F225" s="76"/>
      <c r="G225" s="76"/>
      <c r="H225" s="76"/>
      <c r="I225" s="76"/>
      <c r="J225" s="214"/>
      <c r="K225" s="157"/>
      <c r="L225" s="76"/>
      <c r="M225" s="78"/>
      <c r="N225" s="76"/>
      <c r="O225" s="76"/>
      <c r="P225" s="76"/>
      <c r="Q225" s="76"/>
    </row>
    <row r="226" spans="1:17" s="91" customFormat="1" ht="12" customHeight="1" x14ac:dyDescent="0.3">
      <c r="A226" s="76"/>
      <c r="B226" s="223"/>
      <c r="C226" s="76"/>
      <c r="D226" s="76"/>
      <c r="E226" s="76"/>
      <c r="F226" s="76"/>
      <c r="G226" s="76"/>
      <c r="H226" s="76"/>
      <c r="I226" s="76"/>
      <c r="J226" s="214"/>
      <c r="K226" s="157"/>
      <c r="L226" s="76"/>
      <c r="M226" s="78"/>
      <c r="N226" s="76"/>
      <c r="O226" s="76"/>
      <c r="P226" s="76"/>
      <c r="Q226" s="76"/>
    </row>
    <row r="227" spans="1:17" s="91" customFormat="1" ht="12" customHeight="1" x14ac:dyDescent="0.3">
      <c r="A227" s="76"/>
      <c r="B227" s="223"/>
      <c r="C227" s="76"/>
      <c r="D227" s="76"/>
      <c r="E227" s="76"/>
      <c r="F227" s="76"/>
      <c r="G227" s="76"/>
      <c r="H227" s="76"/>
      <c r="I227" s="76"/>
      <c r="J227" s="214"/>
      <c r="K227" s="157"/>
      <c r="L227" s="76"/>
      <c r="M227" s="78"/>
      <c r="N227" s="76"/>
      <c r="O227" s="76"/>
      <c r="P227" s="76"/>
      <c r="Q227" s="76"/>
    </row>
    <row r="228" spans="1:17" s="91" customFormat="1" ht="12" customHeight="1" x14ac:dyDescent="0.3">
      <c r="A228" s="76"/>
      <c r="B228" s="223"/>
      <c r="C228" s="76"/>
      <c r="D228" s="76"/>
      <c r="E228" s="76"/>
      <c r="F228" s="76"/>
      <c r="G228" s="76"/>
      <c r="H228" s="76"/>
      <c r="I228" s="76"/>
      <c r="J228" s="214"/>
      <c r="K228" s="157"/>
      <c r="L228" s="76"/>
      <c r="M228" s="78"/>
      <c r="N228" s="76"/>
      <c r="O228" s="76"/>
      <c r="P228" s="76"/>
      <c r="Q228" s="76"/>
    </row>
    <row r="229" spans="1:17" s="91" customFormat="1" ht="12" customHeight="1" x14ac:dyDescent="0.3">
      <c r="A229" s="76"/>
      <c r="B229" s="223"/>
      <c r="C229" s="76"/>
      <c r="D229" s="76"/>
      <c r="E229" s="76"/>
      <c r="F229" s="76"/>
      <c r="G229" s="76"/>
      <c r="H229" s="76"/>
      <c r="I229" s="76"/>
      <c r="J229" s="214"/>
      <c r="K229" s="157"/>
      <c r="L229" s="76"/>
      <c r="M229" s="78"/>
      <c r="N229" s="76"/>
      <c r="O229" s="76"/>
      <c r="P229" s="76"/>
      <c r="Q229" s="76"/>
    </row>
    <row r="230" spans="1:17" s="91" customFormat="1" ht="12" customHeight="1" x14ac:dyDescent="0.3">
      <c r="A230" s="76"/>
      <c r="B230" s="223"/>
      <c r="C230" s="76"/>
      <c r="D230" s="76"/>
      <c r="E230" s="76"/>
      <c r="F230" s="76"/>
      <c r="G230" s="76"/>
      <c r="H230" s="76"/>
      <c r="I230" s="76"/>
      <c r="J230" s="214"/>
      <c r="K230" s="157"/>
      <c r="L230" s="76"/>
      <c r="M230" s="78"/>
      <c r="N230" s="76"/>
      <c r="O230" s="76"/>
      <c r="P230" s="76"/>
      <c r="Q230" s="76"/>
    </row>
    <row r="231" spans="1:17" s="91" customFormat="1" ht="12" customHeight="1" x14ac:dyDescent="0.3">
      <c r="A231" s="109"/>
      <c r="B231" s="223"/>
      <c r="C231" s="76"/>
      <c r="D231" s="76"/>
      <c r="E231" s="76"/>
      <c r="F231" s="76"/>
      <c r="G231" s="76"/>
      <c r="H231" s="76"/>
      <c r="I231" s="76"/>
      <c r="J231" s="214"/>
      <c r="K231" s="157"/>
      <c r="L231" s="76"/>
      <c r="M231" s="78"/>
      <c r="N231" s="76"/>
      <c r="O231" s="76"/>
      <c r="P231" s="76"/>
      <c r="Q231" s="76"/>
    </row>
    <row r="232" spans="1:17" s="91" customFormat="1" ht="12" customHeight="1" x14ac:dyDescent="0.3">
      <c r="A232" s="109"/>
      <c r="B232" s="223"/>
      <c r="C232" s="76"/>
      <c r="D232" s="76"/>
      <c r="E232" s="76"/>
      <c r="F232" s="76"/>
      <c r="G232" s="76"/>
      <c r="H232" s="76"/>
      <c r="I232" s="76"/>
      <c r="J232" s="214"/>
      <c r="K232" s="157"/>
      <c r="L232" s="76"/>
      <c r="M232" s="78"/>
      <c r="N232" s="76"/>
      <c r="O232" s="76"/>
      <c r="P232" s="76"/>
      <c r="Q232" s="76"/>
    </row>
    <row r="233" spans="1:17" s="91" customFormat="1" ht="12" customHeight="1" x14ac:dyDescent="0.3">
      <c r="A233" s="109"/>
      <c r="B233" s="109"/>
      <c r="C233" s="109"/>
      <c r="D233" s="110"/>
      <c r="E233" s="76"/>
      <c r="F233" s="76"/>
      <c r="G233" s="76"/>
      <c r="H233" s="76"/>
      <c r="I233" s="76"/>
      <c r="J233" s="214"/>
      <c r="K233" s="157"/>
      <c r="L233" s="76"/>
      <c r="M233" s="78"/>
      <c r="N233" s="76"/>
      <c r="O233" s="76"/>
      <c r="P233" s="76"/>
      <c r="Q233" s="76"/>
    </row>
    <row r="234" spans="1:17" s="91" customFormat="1" ht="12" customHeight="1" x14ac:dyDescent="0.3">
      <c r="A234" s="109"/>
      <c r="B234" s="109"/>
      <c r="C234" s="109"/>
      <c r="D234" s="110"/>
      <c r="E234" s="76"/>
      <c r="F234" s="76"/>
      <c r="G234" s="76"/>
      <c r="H234" s="76"/>
      <c r="I234" s="76"/>
      <c r="J234" s="214"/>
      <c r="K234" s="157"/>
      <c r="L234" s="76"/>
      <c r="M234" s="78"/>
      <c r="N234" s="76"/>
      <c r="O234" s="76"/>
      <c r="P234" s="76"/>
      <c r="Q234" s="76"/>
    </row>
    <row r="235" spans="1:17" s="91" customFormat="1" ht="12" customHeight="1" x14ac:dyDescent="0.3">
      <c r="A235" s="109"/>
      <c r="B235" s="109"/>
      <c r="C235" s="109"/>
      <c r="D235" s="110"/>
      <c r="E235" s="76"/>
      <c r="F235" s="76"/>
      <c r="G235" s="76"/>
      <c r="H235" s="76"/>
      <c r="I235" s="76"/>
      <c r="J235" s="214"/>
      <c r="K235" s="157"/>
      <c r="L235" s="76"/>
      <c r="M235" s="78"/>
      <c r="N235" s="76"/>
      <c r="O235" s="76"/>
      <c r="P235" s="76"/>
      <c r="Q235" s="76"/>
    </row>
    <row r="236" spans="1:17" s="91" customFormat="1" ht="12" customHeight="1" x14ac:dyDescent="0.3">
      <c r="A236" s="109"/>
      <c r="B236" s="109"/>
      <c r="C236" s="109"/>
      <c r="D236" s="110"/>
      <c r="E236" s="76"/>
      <c r="F236" s="76"/>
      <c r="G236" s="76"/>
      <c r="H236" s="76"/>
      <c r="I236" s="76"/>
      <c r="J236" s="214"/>
      <c r="K236" s="157"/>
      <c r="L236" s="76"/>
      <c r="M236" s="78"/>
      <c r="N236" s="76"/>
      <c r="O236" s="76"/>
      <c r="P236" s="76"/>
      <c r="Q236" s="76"/>
    </row>
    <row r="237" spans="1:17" s="91" customFormat="1" ht="12" customHeight="1" x14ac:dyDescent="0.3">
      <c r="A237" s="109"/>
      <c r="B237" s="109"/>
      <c r="C237" s="109"/>
      <c r="D237" s="109"/>
      <c r="E237" s="76"/>
      <c r="F237" s="88"/>
      <c r="G237" s="88"/>
      <c r="H237" s="88"/>
      <c r="I237" s="88"/>
      <c r="J237" s="76"/>
      <c r="K237" s="157"/>
      <c r="L237" s="76"/>
      <c r="M237" s="78"/>
      <c r="N237" s="76"/>
      <c r="O237" s="76"/>
      <c r="P237" s="76"/>
      <c r="Q237" s="76"/>
    </row>
    <row r="238" spans="1:17" s="91" customFormat="1" ht="12" customHeight="1" x14ac:dyDescent="0.3">
      <c r="A238" s="107"/>
      <c r="B238" s="109"/>
      <c r="C238" s="109"/>
      <c r="D238" s="109"/>
      <c r="E238" s="76"/>
      <c r="F238" s="76"/>
      <c r="G238" s="76"/>
      <c r="H238" s="76"/>
      <c r="I238" s="76"/>
      <c r="J238" s="76"/>
      <c r="K238" s="157"/>
      <c r="L238" s="76"/>
      <c r="M238" s="78"/>
      <c r="N238" s="76"/>
      <c r="O238" s="76"/>
      <c r="P238" s="76"/>
      <c r="Q238" s="76"/>
    </row>
    <row r="239" spans="1:17" s="91" customFormat="1" ht="12" customHeight="1" x14ac:dyDescent="0.3">
      <c r="A239" s="295" t="e">
        <f>(F15-#REF!)*12%</f>
        <v>#REF!</v>
      </c>
      <c r="B239" s="109"/>
      <c r="C239" s="109"/>
      <c r="D239" s="296"/>
      <c r="E239" s="297"/>
      <c r="F239" s="297"/>
      <c r="G239" s="297"/>
      <c r="H239" s="297"/>
      <c r="I239" s="298"/>
      <c r="J239" s="76"/>
      <c r="K239" s="157"/>
      <c r="L239" s="76"/>
      <c r="M239" s="78"/>
      <c r="N239" s="76"/>
      <c r="O239" s="76"/>
      <c r="P239" s="76"/>
      <c r="Q239" s="76"/>
    </row>
    <row r="240" spans="1:17" s="91" customFormat="1" ht="12" customHeight="1" x14ac:dyDescent="0.3">
      <c r="A240" s="299"/>
      <c r="B240" s="109"/>
      <c r="C240" s="109"/>
      <c r="D240" s="296"/>
      <c r="E240" s="297"/>
      <c r="F240" s="297"/>
      <c r="G240" s="297"/>
      <c r="H240" s="297"/>
      <c r="I240" s="300"/>
      <c r="J240" s="76"/>
      <c r="K240" s="157"/>
      <c r="L240" s="76"/>
      <c r="M240" s="78"/>
      <c r="N240" s="76"/>
      <c r="O240" s="76"/>
      <c r="P240" s="76"/>
      <c r="Q240" s="76"/>
    </row>
    <row r="241" spans="1:17" s="91" customFormat="1" ht="12" customHeight="1" x14ac:dyDescent="0.3">
      <c r="A241" s="107"/>
      <c r="B241" s="295"/>
      <c r="C241" s="107"/>
      <c r="D241" s="301"/>
      <c r="E241" s="302"/>
      <c r="F241" s="303"/>
      <c r="G241" s="303"/>
      <c r="H241" s="303"/>
      <c r="I241" s="298"/>
      <c r="J241" s="76"/>
      <c r="K241" s="157"/>
      <c r="L241" s="76"/>
      <c r="M241" s="78"/>
      <c r="N241" s="76"/>
      <c r="O241" s="76"/>
      <c r="P241" s="76"/>
      <c r="Q241" s="76"/>
    </row>
    <row r="242" spans="1:17" s="91" customFormat="1" ht="17.25" customHeight="1" x14ac:dyDescent="0.3">
      <c r="B242" s="107"/>
      <c r="C242" s="107"/>
      <c r="D242" s="301"/>
      <c r="F242" s="303"/>
      <c r="G242" s="303"/>
      <c r="H242" s="303"/>
      <c r="I242" s="304"/>
      <c r="J242" s="76"/>
      <c r="K242" s="157"/>
      <c r="L242" s="76"/>
      <c r="M242" s="78"/>
      <c r="N242" s="76"/>
      <c r="O242" s="76"/>
      <c r="P242" s="76"/>
      <c r="Q242" s="76"/>
    </row>
    <row r="243" spans="1:17" s="91" customFormat="1" ht="15.75" customHeight="1" x14ac:dyDescent="0.3">
      <c r="B243" s="107"/>
      <c r="C243" s="107"/>
      <c r="D243" s="301"/>
      <c r="E243" s="302"/>
      <c r="F243" s="302"/>
      <c r="G243" s="302"/>
      <c r="H243" s="302"/>
      <c r="J243" s="76"/>
      <c r="K243" s="157"/>
      <c r="L243" s="76"/>
      <c r="M243" s="78"/>
      <c r="N243" s="76"/>
      <c r="O243" s="76"/>
      <c r="P243" s="76"/>
      <c r="Q243" s="76"/>
    </row>
    <row r="244" spans="1:17" s="91" customFormat="1" ht="12.75" customHeight="1" x14ac:dyDescent="0.3">
      <c r="D244" s="305"/>
      <c r="E244" s="302"/>
      <c r="F244" s="302"/>
      <c r="G244" s="302"/>
      <c r="H244" s="302"/>
      <c r="J244" s="76"/>
      <c r="K244" s="157"/>
      <c r="L244" s="76"/>
      <c r="M244" s="78"/>
      <c r="N244" s="76"/>
      <c r="O244" s="76"/>
      <c r="P244" s="76"/>
      <c r="Q244" s="76"/>
    </row>
    <row r="245" spans="1:17" s="91" customFormat="1" ht="12.75" customHeight="1" x14ac:dyDescent="0.3">
      <c r="D245" s="305"/>
      <c r="E245" s="302"/>
      <c r="F245" s="302"/>
      <c r="G245" s="302"/>
      <c r="H245" s="302"/>
      <c r="K245" s="157"/>
      <c r="L245" s="76"/>
      <c r="M245" s="78"/>
      <c r="N245" s="76"/>
      <c r="O245" s="76"/>
      <c r="P245" s="76"/>
      <c r="Q245" s="76"/>
    </row>
    <row r="246" spans="1:17" s="91" customFormat="1" ht="12.75" customHeight="1" x14ac:dyDescent="0.3">
      <c r="D246" s="305"/>
      <c r="E246" s="302"/>
      <c r="F246" s="302"/>
      <c r="G246" s="302"/>
      <c r="H246" s="302"/>
      <c r="K246" s="157"/>
      <c r="L246" s="76"/>
      <c r="M246" s="78"/>
      <c r="N246" s="76"/>
      <c r="O246" s="76"/>
      <c r="P246" s="76"/>
      <c r="Q246" s="76"/>
    </row>
    <row r="247" spans="1:17" s="91" customFormat="1" ht="12.75" customHeight="1" x14ac:dyDescent="0.3">
      <c r="D247" s="305"/>
      <c r="E247" s="302"/>
      <c r="F247" s="302"/>
      <c r="G247" s="302"/>
      <c r="H247" s="302"/>
      <c r="J247" s="229"/>
      <c r="K247" s="157"/>
      <c r="L247" s="76"/>
      <c r="M247" s="78"/>
      <c r="N247" s="76"/>
      <c r="O247" s="76"/>
      <c r="P247" s="76"/>
      <c r="Q247" s="76"/>
    </row>
    <row r="248" spans="1:17" s="91" customFormat="1" ht="12.75" customHeight="1" x14ac:dyDescent="0.3">
      <c r="D248" s="305"/>
      <c r="E248" s="302"/>
      <c r="F248" s="302"/>
      <c r="G248" s="302"/>
      <c r="H248" s="302"/>
      <c r="J248" s="298"/>
      <c r="K248" s="157"/>
      <c r="L248" s="76"/>
      <c r="M248" s="78"/>
      <c r="N248" s="76"/>
      <c r="O248" s="76"/>
      <c r="P248" s="76"/>
      <c r="Q248" s="76"/>
    </row>
    <row r="249" spans="1:17" s="91" customFormat="1" ht="12.75" customHeight="1" x14ac:dyDescent="0.3">
      <c r="D249" s="305"/>
      <c r="E249" s="302"/>
      <c r="F249" s="302"/>
      <c r="G249" s="302"/>
      <c r="H249" s="302"/>
      <c r="J249" s="300"/>
      <c r="K249" s="157"/>
      <c r="L249" s="76"/>
      <c r="M249" s="78"/>
      <c r="N249" s="76"/>
      <c r="O249" s="76"/>
      <c r="P249" s="76"/>
      <c r="Q249" s="76"/>
    </row>
    <row r="250" spans="1:17" s="91" customFormat="1" ht="12.75" customHeight="1" x14ac:dyDescent="0.3">
      <c r="D250" s="305"/>
      <c r="E250" s="302"/>
      <c r="F250" s="302"/>
      <c r="G250" s="302"/>
      <c r="H250" s="302"/>
      <c r="J250" s="298"/>
      <c r="K250" s="157"/>
      <c r="L250" s="76"/>
      <c r="M250" s="78"/>
      <c r="N250" s="76"/>
      <c r="O250" s="76"/>
      <c r="P250" s="76"/>
      <c r="Q250" s="76"/>
    </row>
    <row r="251" spans="1:17" s="91" customFormat="1" ht="12.75" customHeight="1" x14ac:dyDescent="0.3">
      <c r="D251" s="305"/>
      <c r="E251" s="302"/>
      <c r="F251" s="302"/>
      <c r="G251" s="302"/>
      <c r="H251" s="302"/>
      <c r="J251" s="304"/>
      <c r="K251" s="157"/>
      <c r="L251" s="76"/>
      <c r="M251" s="78"/>
      <c r="N251" s="76"/>
      <c r="O251" s="76"/>
      <c r="P251" s="76"/>
      <c r="Q251" s="76"/>
    </row>
    <row r="252" spans="1:17" s="91" customFormat="1" ht="12.75" customHeight="1" x14ac:dyDescent="0.3">
      <c r="D252" s="305"/>
      <c r="E252" s="302"/>
      <c r="F252" s="302"/>
      <c r="G252" s="302"/>
      <c r="H252" s="302"/>
      <c r="K252" s="157"/>
      <c r="L252" s="76"/>
      <c r="M252" s="78"/>
      <c r="N252" s="76"/>
      <c r="O252" s="76"/>
      <c r="P252" s="76"/>
      <c r="Q252" s="76"/>
    </row>
    <row r="253" spans="1:17" s="91" customFormat="1" ht="12.75" customHeight="1" x14ac:dyDescent="0.3">
      <c r="D253" s="305"/>
      <c r="E253" s="302"/>
      <c r="F253" s="302"/>
      <c r="G253" s="302"/>
      <c r="H253" s="302"/>
      <c r="K253" s="76"/>
      <c r="L253" s="76"/>
      <c r="M253" s="78"/>
      <c r="N253" s="76"/>
      <c r="O253" s="76"/>
      <c r="P253" s="76"/>
      <c r="Q253" s="76"/>
    </row>
    <row r="254" spans="1:17" s="91" customFormat="1" ht="12.75" customHeight="1" x14ac:dyDescent="0.3">
      <c r="D254" s="305"/>
      <c r="E254" s="302"/>
      <c r="F254" s="302"/>
      <c r="G254" s="302"/>
      <c r="H254" s="302"/>
      <c r="K254" s="76"/>
      <c r="L254" s="76"/>
      <c r="M254" s="88"/>
      <c r="N254" s="76"/>
      <c r="O254" s="76"/>
      <c r="P254" s="76"/>
      <c r="Q254" s="76"/>
    </row>
    <row r="255" spans="1:17" s="91" customFormat="1" ht="12.75" customHeight="1" x14ac:dyDescent="0.3">
      <c r="D255" s="305"/>
      <c r="E255" s="302"/>
      <c r="F255" s="302"/>
      <c r="G255" s="302"/>
      <c r="H255" s="302"/>
      <c r="K255" s="76"/>
      <c r="L255" s="76"/>
      <c r="M255" s="88"/>
      <c r="N255" s="76"/>
      <c r="O255" s="76"/>
      <c r="P255" s="76"/>
      <c r="Q255" s="76"/>
    </row>
    <row r="256" spans="1:17" s="91" customFormat="1" ht="12.75" customHeight="1" x14ac:dyDescent="0.3">
      <c r="D256" s="305"/>
      <c r="E256" s="302"/>
      <c r="F256" s="302"/>
      <c r="G256" s="302"/>
      <c r="H256" s="302"/>
      <c r="K256" s="76"/>
      <c r="L256" s="76"/>
      <c r="M256" s="88"/>
      <c r="N256" s="76"/>
      <c r="O256" s="76"/>
      <c r="P256" s="76"/>
      <c r="Q256" s="76"/>
    </row>
    <row r="257" spans="4:17" s="91" customFormat="1" ht="12.75" customHeight="1" x14ac:dyDescent="0.3">
      <c r="D257" s="305"/>
      <c r="E257" s="302"/>
      <c r="F257" s="302"/>
      <c r="G257" s="302"/>
      <c r="H257" s="302"/>
      <c r="K257" s="418"/>
      <c r="L257" s="418"/>
      <c r="M257" s="418"/>
      <c r="N257" s="76"/>
      <c r="O257" s="76"/>
      <c r="P257" s="418"/>
      <c r="Q257" s="418"/>
    </row>
    <row r="258" spans="4:17" s="91" customFormat="1" ht="12.75" customHeight="1" x14ac:dyDescent="0.3">
      <c r="D258" s="305"/>
      <c r="E258" s="302"/>
      <c r="F258" s="302"/>
      <c r="G258" s="302"/>
      <c r="H258" s="302"/>
      <c r="K258" s="76"/>
      <c r="L258" s="419"/>
      <c r="M258" s="419"/>
      <c r="N258" s="76"/>
      <c r="O258" s="76"/>
      <c r="P258" s="76"/>
      <c r="Q258" s="76"/>
    </row>
    <row r="259" spans="4:17" s="91" customFormat="1" ht="12.75" customHeight="1" x14ac:dyDescent="0.3">
      <c r="D259" s="305"/>
      <c r="E259" s="302"/>
      <c r="F259" s="302"/>
      <c r="G259" s="302"/>
      <c r="H259" s="302"/>
      <c r="K259" s="298"/>
      <c r="L259" s="116"/>
      <c r="M259" s="76"/>
      <c r="N259" s="76"/>
      <c r="O259" s="76"/>
      <c r="P259" s="76"/>
      <c r="Q259" s="76"/>
    </row>
    <row r="260" spans="4:17" s="91" customFormat="1" ht="12.75" customHeight="1" x14ac:dyDescent="0.3">
      <c r="D260" s="305"/>
      <c r="E260" s="302"/>
      <c r="F260" s="302"/>
      <c r="G260" s="302"/>
      <c r="H260" s="302"/>
      <c r="K260" s="300"/>
      <c r="L260" s="116"/>
      <c r="M260" s="76"/>
      <c r="N260" s="76"/>
      <c r="O260" s="76"/>
      <c r="P260" s="76"/>
      <c r="Q260" s="76"/>
    </row>
    <row r="261" spans="4:17" s="91" customFormat="1" ht="12.75" customHeight="1" x14ac:dyDescent="0.3">
      <c r="D261" s="305"/>
      <c r="E261" s="302"/>
      <c r="F261" s="302"/>
      <c r="G261" s="302"/>
      <c r="H261" s="302"/>
      <c r="K261" s="298"/>
      <c r="L261" s="304"/>
    </row>
    <row r="262" spans="4:17" s="91" customFormat="1" ht="12.75" customHeight="1" x14ac:dyDescent="0.3">
      <c r="D262" s="305"/>
      <c r="E262" s="302"/>
      <c r="F262" s="302"/>
      <c r="G262" s="302"/>
      <c r="H262" s="302"/>
      <c r="K262" s="229"/>
      <c r="L262" s="304"/>
    </row>
    <row r="263" spans="4:17" s="91" customFormat="1" ht="12.75" customHeight="1" x14ac:dyDescent="0.3">
      <c r="D263" s="305"/>
      <c r="E263" s="302"/>
      <c r="F263" s="302"/>
      <c r="G263" s="302"/>
      <c r="H263" s="302"/>
      <c r="K263" s="93"/>
    </row>
    <row r="264" spans="4:17" s="91" customFormat="1" ht="12.75" customHeight="1" x14ac:dyDescent="0.3">
      <c r="D264" s="305"/>
      <c r="E264" s="302"/>
      <c r="F264" s="302"/>
      <c r="G264" s="302"/>
      <c r="H264" s="302"/>
      <c r="K264" s="93"/>
    </row>
    <row r="265" spans="4:17" s="91" customFormat="1" ht="12.75" customHeight="1" x14ac:dyDescent="0.3">
      <c r="D265" s="305"/>
      <c r="E265" s="302"/>
      <c r="F265" s="302"/>
      <c r="G265" s="302"/>
      <c r="H265" s="302"/>
      <c r="K265" s="93"/>
    </row>
    <row r="266" spans="4:17" s="91" customFormat="1" ht="12.75" customHeight="1" x14ac:dyDescent="0.3">
      <c r="D266" s="305"/>
      <c r="E266" s="302"/>
      <c r="F266" s="302"/>
      <c r="G266" s="302"/>
      <c r="H266" s="302"/>
      <c r="K266" s="93"/>
    </row>
    <row r="267" spans="4:17" s="91" customFormat="1" ht="12.75" customHeight="1" x14ac:dyDescent="0.3">
      <c r="D267" s="305"/>
      <c r="E267" s="302"/>
      <c r="F267" s="302"/>
      <c r="G267" s="302"/>
      <c r="H267" s="302"/>
      <c r="K267" s="93"/>
    </row>
    <row r="268" spans="4:17" s="91" customFormat="1" ht="12.75" customHeight="1" x14ac:dyDescent="0.3">
      <c r="D268" s="305"/>
      <c r="E268" s="302"/>
      <c r="F268" s="302"/>
      <c r="G268" s="302"/>
      <c r="H268" s="302"/>
      <c r="K268" s="93"/>
    </row>
    <row r="269" spans="4:17" s="91" customFormat="1" ht="12.75" customHeight="1" x14ac:dyDescent="0.3">
      <c r="D269" s="305"/>
      <c r="E269" s="302"/>
      <c r="F269" s="302"/>
      <c r="G269" s="302"/>
      <c r="H269" s="302"/>
      <c r="K269" s="93"/>
    </row>
    <row r="270" spans="4:17" s="91" customFormat="1" ht="12.75" customHeight="1" x14ac:dyDescent="0.3">
      <c r="D270" s="305"/>
      <c r="E270" s="302"/>
      <c r="F270" s="302"/>
      <c r="G270" s="302"/>
      <c r="H270" s="302"/>
      <c r="K270" s="93"/>
    </row>
    <row r="271" spans="4:17" s="91" customFormat="1" ht="12.75" customHeight="1" x14ac:dyDescent="0.3">
      <c r="D271" s="305"/>
      <c r="E271" s="302"/>
      <c r="F271" s="302"/>
      <c r="G271" s="302"/>
      <c r="H271" s="302"/>
      <c r="K271" s="93"/>
    </row>
    <row r="272" spans="4:17" s="91" customFormat="1" ht="12.75" customHeight="1" x14ac:dyDescent="0.3">
      <c r="D272" s="305"/>
      <c r="E272" s="302"/>
      <c r="F272" s="302"/>
      <c r="G272" s="302"/>
      <c r="H272" s="302"/>
      <c r="K272" s="93"/>
    </row>
    <row r="273" spans="4:12" s="91" customFormat="1" ht="12.75" customHeight="1" x14ac:dyDescent="0.3">
      <c r="D273" s="305"/>
      <c r="E273" s="302"/>
      <c r="F273" s="302"/>
      <c r="G273" s="302"/>
      <c r="H273" s="302"/>
      <c r="K273" s="93"/>
    </row>
    <row r="274" spans="4:12" s="91" customFormat="1" ht="12.75" customHeight="1" x14ac:dyDescent="0.3">
      <c r="D274" s="305"/>
      <c r="E274" s="302"/>
      <c r="F274" s="302"/>
      <c r="G274" s="302"/>
      <c r="H274" s="302"/>
      <c r="K274" s="93"/>
    </row>
    <row r="275" spans="4:12" s="91" customFormat="1" ht="12.75" customHeight="1" x14ac:dyDescent="0.3">
      <c r="D275" s="305"/>
      <c r="E275" s="302"/>
      <c r="F275" s="302"/>
      <c r="G275" s="302"/>
      <c r="H275" s="302"/>
      <c r="L275" s="93"/>
    </row>
    <row r="276" spans="4:12" s="91" customFormat="1" ht="12.75" customHeight="1" x14ac:dyDescent="0.3">
      <c r="D276" s="305"/>
      <c r="E276" s="302"/>
      <c r="F276" s="302"/>
      <c r="G276" s="302"/>
      <c r="H276" s="302"/>
      <c r="L276" s="93"/>
    </row>
    <row r="277" spans="4:12" s="91" customFormat="1" ht="12.75" customHeight="1" x14ac:dyDescent="0.3">
      <c r="D277" s="305"/>
      <c r="E277" s="302"/>
      <c r="F277" s="302"/>
      <c r="G277" s="302"/>
      <c r="H277" s="302"/>
      <c r="L277" s="93"/>
    </row>
    <row r="278" spans="4:12" s="91" customFormat="1" ht="12.75" customHeight="1" x14ac:dyDescent="0.3">
      <c r="D278" s="305"/>
      <c r="E278" s="302"/>
      <c r="F278" s="302"/>
      <c r="G278" s="302"/>
      <c r="H278" s="302"/>
      <c r="L278" s="93"/>
    </row>
    <row r="279" spans="4:12" s="91" customFormat="1" ht="12.75" customHeight="1" x14ac:dyDescent="0.3">
      <c r="D279" s="305"/>
      <c r="E279" s="302"/>
      <c r="F279" s="302"/>
      <c r="G279" s="302"/>
      <c r="H279" s="302"/>
      <c r="L279" s="93"/>
    </row>
    <row r="280" spans="4:12" s="91" customFormat="1" ht="12.75" customHeight="1" x14ac:dyDescent="0.3">
      <c r="D280" s="305"/>
      <c r="E280" s="302"/>
      <c r="F280" s="302"/>
      <c r="G280" s="302"/>
      <c r="H280" s="302"/>
      <c r="L280" s="93"/>
    </row>
    <row r="281" spans="4:12" s="91" customFormat="1" ht="12.75" customHeight="1" x14ac:dyDescent="0.3">
      <c r="D281" s="305"/>
      <c r="E281" s="302"/>
      <c r="F281" s="302"/>
      <c r="G281" s="302"/>
      <c r="H281" s="302"/>
      <c r="L281" s="93"/>
    </row>
    <row r="282" spans="4:12" s="91" customFormat="1" ht="12.75" customHeight="1" x14ac:dyDescent="0.3">
      <c r="D282" s="305"/>
      <c r="E282" s="302"/>
      <c r="F282" s="302"/>
      <c r="G282" s="302"/>
      <c r="H282" s="302"/>
      <c r="L282" s="93"/>
    </row>
    <row r="283" spans="4:12" s="91" customFormat="1" ht="12.75" customHeight="1" x14ac:dyDescent="0.3">
      <c r="D283" s="305"/>
      <c r="E283" s="302"/>
      <c r="F283" s="302"/>
      <c r="G283" s="302"/>
      <c r="H283" s="302"/>
      <c r="L283" s="93"/>
    </row>
    <row r="284" spans="4:12" s="91" customFormat="1" ht="12.75" customHeight="1" x14ac:dyDescent="0.3">
      <c r="D284" s="305"/>
      <c r="E284" s="302"/>
      <c r="F284" s="302"/>
      <c r="G284" s="302"/>
      <c r="H284" s="302"/>
      <c r="L284" s="93"/>
    </row>
    <row r="285" spans="4:12" s="91" customFormat="1" ht="12.75" customHeight="1" x14ac:dyDescent="0.3">
      <c r="D285" s="305"/>
      <c r="E285" s="302"/>
      <c r="F285" s="302"/>
      <c r="G285" s="302"/>
      <c r="H285" s="302"/>
      <c r="L285" s="93"/>
    </row>
    <row r="286" spans="4:12" s="91" customFormat="1" ht="12.75" customHeight="1" x14ac:dyDescent="0.3">
      <c r="D286" s="305"/>
      <c r="E286" s="302"/>
      <c r="F286" s="302"/>
      <c r="G286" s="302"/>
      <c r="H286" s="302"/>
      <c r="L286" s="93"/>
    </row>
    <row r="287" spans="4:12" s="91" customFormat="1" ht="12.75" customHeight="1" x14ac:dyDescent="0.3">
      <c r="D287" s="305"/>
      <c r="E287" s="302"/>
      <c r="F287" s="302"/>
      <c r="G287" s="302"/>
      <c r="H287" s="302"/>
      <c r="L287" s="93"/>
    </row>
    <row r="288" spans="4:12" s="91" customFormat="1" ht="12.75" customHeight="1" x14ac:dyDescent="0.3">
      <c r="D288" s="305"/>
      <c r="E288" s="302"/>
      <c r="F288" s="302"/>
      <c r="G288" s="302"/>
      <c r="H288" s="302"/>
      <c r="L288" s="93"/>
    </row>
    <row r="289" spans="4:12" s="91" customFormat="1" ht="12.75" customHeight="1" x14ac:dyDescent="0.3">
      <c r="D289" s="305"/>
      <c r="E289" s="302"/>
      <c r="F289" s="302"/>
      <c r="G289" s="302"/>
      <c r="H289" s="302"/>
      <c r="L289" s="93"/>
    </row>
    <row r="290" spans="4:12" s="91" customFormat="1" ht="12.75" customHeight="1" x14ac:dyDescent="0.3">
      <c r="D290" s="305"/>
      <c r="E290" s="302"/>
      <c r="F290" s="302"/>
      <c r="G290" s="302"/>
      <c r="H290" s="302"/>
      <c r="L290" s="93"/>
    </row>
    <row r="291" spans="4:12" s="91" customFormat="1" ht="12.75" customHeight="1" x14ac:dyDescent="0.3">
      <c r="D291" s="305"/>
      <c r="E291" s="302"/>
      <c r="F291" s="302"/>
      <c r="G291" s="302"/>
      <c r="H291" s="302"/>
      <c r="L291" s="93"/>
    </row>
    <row r="292" spans="4:12" s="91" customFormat="1" ht="12.75" customHeight="1" x14ac:dyDescent="0.3">
      <c r="D292" s="305"/>
      <c r="E292" s="302"/>
      <c r="F292" s="302"/>
      <c r="G292" s="302"/>
      <c r="H292" s="302"/>
      <c r="L292" s="93"/>
    </row>
    <row r="293" spans="4:12" s="91" customFormat="1" ht="12.75" customHeight="1" x14ac:dyDescent="0.3">
      <c r="D293" s="305"/>
      <c r="E293" s="302"/>
      <c r="F293" s="302"/>
      <c r="G293" s="302"/>
      <c r="H293" s="302"/>
      <c r="L293" s="93"/>
    </row>
    <row r="294" spans="4:12" s="91" customFormat="1" ht="12.75" customHeight="1" x14ac:dyDescent="0.3">
      <c r="D294" s="305"/>
      <c r="E294" s="302"/>
      <c r="F294" s="302"/>
      <c r="G294" s="302"/>
      <c r="H294" s="302"/>
      <c r="L294" s="93"/>
    </row>
    <row r="295" spans="4:12" s="91" customFormat="1" ht="12.75" customHeight="1" x14ac:dyDescent="0.3">
      <c r="D295" s="305"/>
      <c r="E295" s="302"/>
      <c r="F295" s="302"/>
      <c r="G295" s="302"/>
      <c r="H295" s="302"/>
      <c r="L295" s="93"/>
    </row>
    <row r="296" spans="4:12" s="91" customFormat="1" ht="12.75" customHeight="1" x14ac:dyDescent="0.3">
      <c r="D296" s="305"/>
      <c r="E296" s="302"/>
      <c r="F296" s="302"/>
      <c r="G296" s="302"/>
      <c r="H296" s="302"/>
      <c r="L296" s="93"/>
    </row>
    <row r="297" spans="4:12" s="91" customFormat="1" ht="12.75" customHeight="1" x14ac:dyDescent="0.3">
      <c r="D297" s="305"/>
      <c r="E297" s="302"/>
      <c r="F297" s="302"/>
      <c r="G297" s="302"/>
      <c r="H297" s="302"/>
      <c r="L297" s="93"/>
    </row>
    <row r="298" spans="4:12" s="91" customFormat="1" ht="12.75" customHeight="1" x14ac:dyDescent="0.3">
      <c r="D298" s="305"/>
      <c r="E298" s="302"/>
      <c r="F298" s="302"/>
      <c r="G298" s="302"/>
      <c r="H298" s="302"/>
      <c r="L298" s="93"/>
    </row>
    <row r="299" spans="4:12" s="91" customFormat="1" ht="12.75" customHeight="1" x14ac:dyDescent="0.3">
      <c r="D299" s="305"/>
      <c r="E299" s="302"/>
      <c r="F299" s="302"/>
      <c r="G299" s="302"/>
      <c r="H299" s="302"/>
      <c r="L299" s="93"/>
    </row>
    <row r="300" spans="4:12" s="91" customFormat="1" ht="12.75" customHeight="1" x14ac:dyDescent="0.3">
      <c r="D300" s="305"/>
      <c r="E300" s="302"/>
      <c r="F300" s="302"/>
      <c r="G300" s="302"/>
      <c r="H300" s="302"/>
      <c r="L300" s="93"/>
    </row>
    <row r="301" spans="4:12" s="91" customFormat="1" ht="12.75" customHeight="1" x14ac:dyDescent="0.3">
      <c r="D301" s="305"/>
      <c r="E301" s="302"/>
      <c r="F301" s="302"/>
      <c r="G301" s="302"/>
      <c r="H301" s="302"/>
      <c r="L301" s="93"/>
    </row>
    <row r="302" spans="4:12" s="91" customFormat="1" ht="12.75" customHeight="1" x14ac:dyDescent="0.3">
      <c r="D302" s="305"/>
      <c r="E302" s="302"/>
      <c r="F302" s="302"/>
      <c r="G302" s="302"/>
      <c r="H302" s="302"/>
      <c r="L302" s="93"/>
    </row>
    <row r="303" spans="4:12" s="91" customFormat="1" ht="12.75" customHeight="1" x14ac:dyDescent="0.3">
      <c r="D303" s="305"/>
      <c r="E303" s="302"/>
      <c r="F303" s="302"/>
      <c r="G303" s="302"/>
      <c r="H303" s="302"/>
      <c r="L303" s="93"/>
    </row>
    <row r="304" spans="4:12" s="91" customFormat="1" ht="12.75" customHeight="1" x14ac:dyDescent="0.3">
      <c r="D304" s="305"/>
      <c r="E304" s="302"/>
      <c r="F304" s="302"/>
      <c r="G304" s="302"/>
      <c r="H304" s="302"/>
      <c r="L304" s="93"/>
    </row>
    <row r="305" spans="4:12" s="91" customFormat="1" ht="12.75" customHeight="1" x14ac:dyDescent="0.3">
      <c r="D305" s="305"/>
      <c r="E305" s="302"/>
      <c r="F305" s="302"/>
      <c r="G305" s="302"/>
      <c r="H305" s="302"/>
      <c r="L305" s="93"/>
    </row>
    <row r="306" spans="4:12" s="91" customFormat="1" ht="12.75" customHeight="1" x14ac:dyDescent="0.3">
      <c r="D306" s="305"/>
      <c r="E306" s="302"/>
      <c r="F306" s="302"/>
      <c r="G306" s="302"/>
      <c r="H306" s="302"/>
      <c r="L306" s="93"/>
    </row>
    <row r="307" spans="4:12" s="91" customFormat="1" ht="12.75" customHeight="1" x14ac:dyDescent="0.3">
      <c r="D307" s="305"/>
      <c r="E307" s="302"/>
      <c r="F307" s="302"/>
      <c r="G307" s="302"/>
      <c r="H307" s="302"/>
      <c r="L307" s="93"/>
    </row>
    <row r="308" spans="4:12" s="91" customFormat="1" ht="12.75" customHeight="1" x14ac:dyDescent="0.3">
      <c r="D308" s="305"/>
      <c r="E308" s="302"/>
      <c r="F308" s="302"/>
      <c r="G308" s="302"/>
      <c r="H308" s="302"/>
      <c r="L308" s="93"/>
    </row>
    <row r="309" spans="4:12" s="91" customFormat="1" ht="12.75" customHeight="1" x14ac:dyDescent="0.3">
      <c r="D309" s="305"/>
      <c r="E309" s="302"/>
      <c r="F309" s="302"/>
      <c r="G309" s="302"/>
      <c r="H309" s="302"/>
      <c r="L309" s="93"/>
    </row>
    <row r="310" spans="4:12" s="91" customFormat="1" ht="12.75" customHeight="1" x14ac:dyDescent="0.3">
      <c r="D310" s="305"/>
      <c r="E310" s="302"/>
      <c r="F310" s="302"/>
      <c r="G310" s="302"/>
      <c r="H310" s="302"/>
      <c r="L310" s="93"/>
    </row>
    <row r="311" spans="4:12" s="91" customFormat="1" ht="12.75" customHeight="1" x14ac:dyDescent="0.3">
      <c r="D311" s="305"/>
      <c r="E311" s="302"/>
      <c r="F311" s="302"/>
      <c r="G311" s="302"/>
      <c r="H311" s="302"/>
      <c r="L311" s="93"/>
    </row>
    <row r="312" spans="4:12" s="91" customFormat="1" ht="12.75" customHeight="1" x14ac:dyDescent="0.3">
      <c r="D312" s="305"/>
      <c r="E312" s="302"/>
      <c r="F312" s="302"/>
      <c r="G312" s="302"/>
      <c r="H312" s="302"/>
      <c r="L312" s="93"/>
    </row>
    <row r="313" spans="4:12" s="91" customFormat="1" ht="12.75" customHeight="1" x14ac:dyDescent="0.3">
      <c r="D313" s="305"/>
      <c r="E313" s="302"/>
      <c r="F313" s="302"/>
      <c r="G313" s="302"/>
      <c r="H313" s="302"/>
      <c r="L313" s="93"/>
    </row>
    <row r="314" spans="4:12" s="91" customFormat="1" ht="12.75" customHeight="1" x14ac:dyDescent="0.3">
      <c r="D314" s="305"/>
      <c r="E314" s="302"/>
      <c r="F314" s="302"/>
      <c r="G314" s="302"/>
      <c r="H314" s="302"/>
      <c r="L314" s="93"/>
    </row>
    <row r="315" spans="4:12" s="91" customFormat="1" ht="12.75" customHeight="1" x14ac:dyDescent="0.3">
      <c r="D315" s="305"/>
      <c r="E315" s="302"/>
      <c r="F315" s="302"/>
      <c r="G315" s="302"/>
      <c r="H315" s="302"/>
      <c r="L315" s="93"/>
    </row>
    <row r="316" spans="4:12" s="91" customFormat="1" ht="12.75" customHeight="1" x14ac:dyDescent="0.3">
      <c r="D316" s="305"/>
      <c r="E316" s="302"/>
      <c r="F316" s="302"/>
      <c r="G316" s="302"/>
      <c r="H316" s="302"/>
      <c r="L316" s="93"/>
    </row>
    <row r="317" spans="4:12" s="91" customFormat="1" ht="12.75" customHeight="1" x14ac:dyDescent="0.3">
      <c r="D317" s="305"/>
      <c r="E317" s="302"/>
      <c r="F317" s="302"/>
      <c r="G317" s="302"/>
      <c r="H317" s="302"/>
      <c r="L317" s="93"/>
    </row>
    <row r="318" spans="4:12" s="91" customFormat="1" ht="12.75" customHeight="1" x14ac:dyDescent="0.3">
      <c r="D318" s="305"/>
      <c r="E318" s="302"/>
      <c r="F318" s="302"/>
      <c r="G318" s="302"/>
      <c r="H318" s="302"/>
      <c r="L318" s="93"/>
    </row>
    <row r="319" spans="4:12" s="91" customFormat="1" ht="12.75" customHeight="1" x14ac:dyDescent="0.3">
      <c r="D319" s="305"/>
      <c r="E319" s="302"/>
      <c r="F319" s="302"/>
      <c r="G319" s="302"/>
      <c r="H319" s="302"/>
      <c r="L319" s="93"/>
    </row>
    <row r="320" spans="4:12" s="91" customFormat="1" ht="12.75" customHeight="1" x14ac:dyDescent="0.3">
      <c r="D320" s="305"/>
      <c r="E320" s="302"/>
      <c r="F320" s="302"/>
      <c r="G320" s="302"/>
      <c r="H320" s="302"/>
      <c r="L320" s="93"/>
    </row>
    <row r="321" spans="4:12" s="91" customFormat="1" ht="12.75" customHeight="1" x14ac:dyDescent="0.3">
      <c r="D321" s="305"/>
      <c r="E321" s="302"/>
      <c r="F321" s="302"/>
      <c r="G321" s="302"/>
      <c r="H321" s="302"/>
      <c r="L321" s="93"/>
    </row>
    <row r="322" spans="4:12" s="91" customFormat="1" ht="12.75" customHeight="1" x14ac:dyDescent="0.3">
      <c r="D322" s="305"/>
      <c r="E322" s="302"/>
      <c r="F322" s="302"/>
      <c r="G322" s="302"/>
      <c r="H322" s="302"/>
      <c r="L322" s="93"/>
    </row>
    <row r="323" spans="4:12" s="91" customFormat="1" ht="12.75" customHeight="1" x14ac:dyDescent="0.3">
      <c r="D323" s="305"/>
      <c r="E323" s="302"/>
      <c r="F323" s="302"/>
      <c r="G323" s="302"/>
      <c r="H323" s="302"/>
      <c r="L323" s="93"/>
    </row>
    <row r="324" spans="4:12" s="91" customFormat="1" ht="12.75" customHeight="1" x14ac:dyDescent="0.3">
      <c r="D324" s="305"/>
      <c r="E324" s="302"/>
      <c r="F324" s="302"/>
      <c r="G324" s="302"/>
      <c r="H324" s="302"/>
      <c r="L324" s="93"/>
    </row>
    <row r="325" spans="4:12" s="91" customFormat="1" ht="12.75" customHeight="1" x14ac:dyDescent="0.3">
      <c r="D325" s="305"/>
      <c r="E325" s="302"/>
      <c r="F325" s="302"/>
      <c r="G325" s="302"/>
      <c r="H325" s="302"/>
      <c r="L325" s="93"/>
    </row>
    <row r="326" spans="4:12" s="91" customFormat="1" ht="12.75" customHeight="1" x14ac:dyDescent="0.3">
      <c r="D326" s="305"/>
      <c r="E326" s="302"/>
      <c r="F326" s="302"/>
      <c r="G326" s="302"/>
      <c r="H326" s="302"/>
      <c r="L326" s="93"/>
    </row>
    <row r="327" spans="4:12" s="91" customFormat="1" ht="12.75" customHeight="1" x14ac:dyDescent="0.3">
      <c r="D327" s="305"/>
      <c r="E327" s="302"/>
      <c r="F327" s="302"/>
      <c r="G327" s="302"/>
      <c r="H327" s="302"/>
      <c r="L327" s="93"/>
    </row>
    <row r="328" spans="4:12" s="91" customFormat="1" ht="12.75" customHeight="1" x14ac:dyDescent="0.3">
      <c r="D328" s="305"/>
      <c r="E328" s="302"/>
      <c r="F328" s="302"/>
      <c r="G328" s="302"/>
      <c r="H328" s="302"/>
      <c r="L328" s="93"/>
    </row>
    <row r="329" spans="4:12" s="91" customFormat="1" ht="12.75" customHeight="1" x14ac:dyDescent="0.3">
      <c r="D329" s="305"/>
      <c r="E329" s="302"/>
      <c r="F329" s="302"/>
      <c r="G329" s="302"/>
      <c r="H329" s="302"/>
      <c r="L329" s="93"/>
    </row>
    <row r="330" spans="4:12" s="91" customFormat="1" ht="12.75" customHeight="1" x14ac:dyDescent="0.3">
      <c r="D330" s="305"/>
      <c r="E330" s="302"/>
      <c r="F330" s="302"/>
      <c r="G330" s="302"/>
      <c r="H330" s="302"/>
      <c r="L330" s="93"/>
    </row>
    <row r="331" spans="4:12" s="91" customFormat="1" ht="12.75" customHeight="1" x14ac:dyDescent="0.3">
      <c r="D331" s="305"/>
      <c r="E331" s="302"/>
      <c r="F331" s="302"/>
      <c r="G331" s="302"/>
      <c r="H331" s="302"/>
      <c r="L331" s="93"/>
    </row>
    <row r="332" spans="4:12" s="91" customFormat="1" ht="12.75" customHeight="1" x14ac:dyDescent="0.3">
      <c r="D332" s="305"/>
      <c r="E332" s="302"/>
      <c r="F332" s="302"/>
      <c r="G332" s="302"/>
      <c r="H332" s="302"/>
      <c r="L332" s="93"/>
    </row>
    <row r="333" spans="4:12" s="91" customFormat="1" ht="12.75" customHeight="1" x14ac:dyDescent="0.3">
      <c r="D333" s="305"/>
      <c r="E333" s="302"/>
      <c r="F333" s="302"/>
      <c r="G333" s="302"/>
      <c r="H333" s="302"/>
      <c r="L333" s="93"/>
    </row>
    <row r="334" spans="4:12" s="91" customFormat="1" ht="12.75" customHeight="1" x14ac:dyDescent="0.3">
      <c r="D334" s="305"/>
      <c r="E334" s="302"/>
      <c r="F334" s="302"/>
      <c r="G334" s="302"/>
      <c r="H334" s="302"/>
      <c r="L334" s="93"/>
    </row>
    <row r="335" spans="4:12" s="91" customFormat="1" ht="12.75" customHeight="1" x14ac:dyDescent="0.3">
      <c r="D335" s="305"/>
      <c r="E335" s="302"/>
      <c r="F335" s="302"/>
      <c r="G335" s="302"/>
      <c r="H335" s="302"/>
      <c r="L335" s="93"/>
    </row>
    <row r="336" spans="4:12" s="91" customFormat="1" ht="12.75" customHeight="1" x14ac:dyDescent="0.3">
      <c r="D336" s="305"/>
      <c r="E336" s="302"/>
      <c r="F336" s="302"/>
      <c r="G336" s="302"/>
      <c r="H336" s="302"/>
      <c r="L336" s="93"/>
    </row>
    <row r="337" spans="4:12" s="91" customFormat="1" ht="12.75" customHeight="1" x14ac:dyDescent="0.3">
      <c r="D337" s="305"/>
      <c r="E337" s="302"/>
      <c r="F337" s="302"/>
      <c r="G337" s="302"/>
      <c r="H337" s="302"/>
      <c r="L337" s="93"/>
    </row>
    <row r="338" spans="4:12" s="91" customFormat="1" ht="12.75" customHeight="1" x14ac:dyDescent="0.3">
      <c r="D338" s="305"/>
      <c r="E338" s="302"/>
      <c r="F338" s="302"/>
      <c r="G338" s="302"/>
      <c r="H338" s="302"/>
      <c r="L338" s="93"/>
    </row>
    <row r="339" spans="4:12" s="91" customFormat="1" ht="12.75" customHeight="1" x14ac:dyDescent="0.3">
      <c r="D339" s="305"/>
      <c r="E339" s="302"/>
      <c r="F339" s="302"/>
      <c r="G339" s="302"/>
      <c r="H339" s="302"/>
      <c r="L339" s="93"/>
    </row>
    <row r="340" spans="4:12" s="91" customFormat="1" ht="12.75" customHeight="1" x14ac:dyDescent="0.3">
      <c r="D340" s="305"/>
      <c r="E340" s="302"/>
      <c r="F340" s="302"/>
      <c r="G340" s="302"/>
      <c r="H340" s="302"/>
      <c r="L340" s="93"/>
    </row>
    <row r="341" spans="4:12" s="91" customFormat="1" ht="12.75" customHeight="1" x14ac:dyDescent="0.3">
      <c r="D341" s="305"/>
      <c r="E341" s="302"/>
      <c r="F341" s="302"/>
      <c r="G341" s="302"/>
      <c r="H341" s="302"/>
      <c r="L341" s="93"/>
    </row>
    <row r="342" spans="4:12" s="91" customFormat="1" ht="12.75" customHeight="1" x14ac:dyDescent="0.3">
      <c r="D342" s="305"/>
      <c r="E342" s="302"/>
      <c r="F342" s="302"/>
      <c r="G342" s="302"/>
      <c r="H342" s="302"/>
      <c r="L342" s="93"/>
    </row>
    <row r="343" spans="4:12" s="91" customFormat="1" ht="12.75" customHeight="1" x14ac:dyDescent="0.3">
      <c r="D343" s="305"/>
      <c r="E343" s="302"/>
      <c r="F343" s="302"/>
      <c r="G343" s="302"/>
      <c r="H343" s="302"/>
      <c r="L343" s="93"/>
    </row>
    <row r="344" spans="4:12" s="91" customFormat="1" ht="12.75" customHeight="1" x14ac:dyDescent="0.3">
      <c r="D344" s="305"/>
      <c r="E344" s="302"/>
      <c r="F344" s="302"/>
      <c r="G344" s="302"/>
      <c r="H344" s="302"/>
      <c r="L344" s="93"/>
    </row>
    <row r="345" spans="4:12" s="91" customFormat="1" ht="12.75" customHeight="1" x14ac:dyDescent="0.3">
      <c r="D345" s="305"/>
      <c r="E345" s="302"/>
      <c r="F345" s="302"/>
      <c r="G345" s="302"/>
      <c r="H345" s="302"/>
      <c r="L345" s="93"/>
    </row>
    <row r="346" spans="4:12" s="91" customFormat="1" ht="12.75" customHeight="1" x14ac:dyDescent="0.3">
      <c r="D346" s="305"/>
      <c r="E346" s="302"/>
      <c r="F346" s="302"/>
      <c r="G346" s="302"/>
      <c r="H346" s="302"/>
      <c r="L346" s="93"/>
    </row>
    <row r="347" spans="4:12" s="91" customFormat="1" ht="12.75" customHeight="1" x14ac:dyDescent="0.3">
      <c r="D347" s="305"/>
      <c r="E347" s="302"/>
      <c r="F347" s="302"/>
      <c r="G347" s="302"/>
      <c r="H347" s="302"/>
      <c r="L347" s="93"/>
    </row>
    <row r="348" spans="4:12" s="91" customFormat="1" ht="12.75" customHeight="1" x14ac:dyDescent="0.3">
      <c r="D348" s="305"/>
      <c r="E348" s="302"/>
      <c r="F348" s="302"/>
      <c r="G348" s="302"/>
      <c r="H348" s="302"/>
      <c r="L348" s="93"/>
    </row>
    <row r="349" spans="4:12" s="91" customFormat="1" ht="12.75" customHeight="1" x14ac:dyDescent="0.3">
      <c r="D349" s="305"/>
      <c r="E349" s="302"/>
      <c r="F349" s="302"/>
      <c r="G349" s="302"/>
      <c r="H349" s="302"/>
      <c r="L349" s="93"/>
    </row>
    <row r="350" spans="4:12" s="91" customFormat="1" ht="12.75" customHeight="1" x14ac:dyDescent="0.3">
      <c r="D350" s="305"/>
      <c r="E350" s="302"/>
      <c r="F350" s="302"/>
      <c r="G350" s="302"/>
      <c r="H350" s="302"/>
      <c r="L350" s="93"/>
    </row>
    <row r="351" spans="4:12" s="91" customFormat="1" ht="12.75" customHeight="1" x14ac:dyDescent="0.3">
      <c r="D351" s="305"/>
      <c r="E351" s="302"/>
      <c r="F351" s="302"/>
      <c r="G351" s="302"/>
      <c r="H351" s="302"/>
      <c r="L351" s="93"/>
    </row>
    <row r="352" spans="4:12" s="91" customFormat="1" ht="12.75" customHeight="1" x14ac:dyDescent="0.3">
      <c r="D352" s="305"/>
      <c r="E352" s="302"/>
      <c r="F352" s="302"/>
      <c r="G352" s="302"/>
      <c r="H352" s="302"/>
      <c r="L352" s="93"/>
    </row>
    <row r="353" spans="4:12" s="91" customFormat="1" ht="12.75" customHeight="1" x14ac:dyDescent="0.3">
      <c r="D353" s="305"/>
      <c r="E353" s="302"/>
      <c r="F353" s="302"/>
      <c r="G353" s="302"/>
      <c r="H353" s="302"/>
      <c r="L353" s="93"/>
    </row>
    <row r="354" spans="4:12" s="91" customFormat="1" ht="12.75" customHeight="1" x14ac:dyDescent="0.3">
      <c r="D354" s="305"/>
      <c r="E354" s="302"/>
      <c r="F354" s="302"/>
      <c r="G354" s="302"/>
      <c r="H354" s="302"/>
      <c r="L354" s="93"/>
    </row>
    <row r="355" spans="4:12" s="91" customFormat="1" ht="12.75" customHeight="1" x14ac:dyDescent="0.3">
      <c r="D355" s="305"/>
      <c r="E355" s="302"/>
      <c r="F355" s="302"/>
      <c r="G355" s="302"/>
      <c r="H355" s="302"/>
      <c r="L355" s="93"/>
    </row>
    <row r="356" spans="4:12" s="91" customFormat="1" ht="12.75" customHeight="1" x14ac:dyDescent="0.3">
      <c r="D356" s="305"/>
      <c r="E356" s="302"/>
      <c r="F356" s="302"/>
      <c r="G356" s="302"/>
      <c r="H356" s="302"/>
      <c r="L356" s="93"/>
    </row>
    <row r="357" spans="4:12" s="91" customFormat="1" ht="12.75" customHeight="1" x14ac:dyDescent="0.3">
      <c r="D357" s="305"/>
      <c r="E357" s="302"/>
      <c r="F357" s="302"/>
      <c r="G357" s="302"/>
      <c r="H357" s="302"/>
      <c r="L357" s="93"/>
    </row>
    <row r="358" spans="4:12" s="91" customFormat="1" ht="12.75" customHeight="1" x14ac:dyDescent="0.3">
      <c r="D358" s="305"/>
      <c r="E358" s="302"/>
      <c r="F358" s="302"/>
      <c r="G358" s="302"/>
      <c r="H358" s="302"/>
      <c r="L358" s="93"/>
    </row>
    <row r="359" spans="4:12" s="91" customFormat="1" ht="12.75" customHeight="1" x14ac:dyDescent="0.3">
      <c r="D359" s="305"/>
      <c r="E359" s="302"/>
      <c r="F359" s="302"/>
      <c r="G359" s="302"/>
      <c r="H359" s="302"/>
      <c r="L359" s="93"/>
    </row>
    <row r="360" spans="4:12" s="91" customFormat="1" ht="12.75" customHeight="1" x14ac:dyDescent="0.3">
      <c r="D360" s="305"/>
      <c r="E360" s="302"/>
      <c r="F360" s="302"/>
      <c r="G360" s="302"/>
      <c r="H360" s="302"/>
      <c r="L360" s="93"/>
    </row>
    <row r="361" spans="4:12" s="91" customFormat="1" ht="12.75" customHeight="1" x14ac:dyDescent="0.3">
      <c r="D361" s="305"/>
      <c r="E361" s="302"/>
      <c r="F361" s="302"/>
      <c r="G361" s="302"/>
      <c r="H361" s="302"/>
      <c r="L361" s="93"/>
    </row>
    <row r="362" spans="4:12" s="91" customFormat="1" ht="12.75" customHeight="1" x14ac:dyDescent="0.3">
      <c r="D362" s="305"/>
      <c r="E362" s="302"/>
      <c r="F362" s="302"/>
      <c r="G362" s="302"/>
      <c r="H362" s="302"/>
      <c r="L362" s="93"/>
    </row>
    <row r="363" spans="4:12" s="91" customFormat="1" ht="12.75" customHeight="1" x14ac:dyDescent="0.3">
      <c r="D363" s="305"/>
      <c r="E363" s="302"/>
      <c r="F363" s="302"/>
      <c r="G363" s="302"/>
      <c r="H363" s="302"/>
      <c r="L363" s="93"/>
    </row>
    <row r="364" spans="4:12" s="91" customFormat="1" ht="12.75" customHeight="1" x14ac:dyDescent="0.3">
      <c r="D364" s="305"/>
      <c r="E364" s="302"/>
      <c r="F364" s="302"/>
      <c r="G364" s="302"/>
      <c r="H364" s="302"/>
      <c r="L364" s="93"/>
    </row>
    <row r="365" spans="4:12" s="91" customFormat="1" ht="12.75" customHeight="1" x14ac:dyDescent="0.3">
      <c r="D365" s="305"/>
      <c r="E365" s="302"/>
      <c r="F365" s="302"/>
      <c r="G365" s="302"/>
      <c r="H365" s="302"/>
      <c r="L365" s="93"/>
    </row>
    <row r="366" spans="4:12" s="91" customFormat="1" ht="12.75" customHeight="1" x14ac:dyDescent="0.3">
      <c r="D366" s="305"/>
      <c r="E366" s="302"/>
      <c r="F366" s="302"/>
      <c r="G366" s="302"/>
      <c r="H366" s="302"/>
      <c r="L366" s="93"/>
    </row>
    <row r="367" spans="4:12" s="91" customFormat="1" ht="12.75" customHeight="1" x14ac:dyDescent="0.3">
      <c r="D367" s="305"/>
      <c r="E367" s="302"/>
      <c r="F367" s="302"/>
      <c r="G367" s="302"/>
      <c r="H367" s="302"/>
      <c r="L367" s="93"/>
    </row>
    <row r="368" spans="4:12" s="91" customFormat="1" ht="12.75" customHeight="1" x14ac:dyDescent="0.3">
      <c r="D368" s="305"/>
      <c r="E368" s="302"/>
      <c r="F368" s="302"/>
      <c r="G368" s="302"/>
      <c r="H368" s="302"/>
      <c r="L368" s="93"/>
    </row>
    <row r="369" spans="4:34" s="91" customFormat="1" ht="12.75" customHeight="1" x14ac:dyDescent="0.3">
      <c r="D369" s="305"/>
      <c r="E369" s="302"/>
      <c r="F369" s="302"/>
      <c r="G369" s="302"/>
      <c r="H369" s="302"/>
      <c r="L369" s="93"/>
    </row>
    <row r="370" spans="4:34" s="91" customFormat="1" ht="12.75" customHeight="1" x14ac:dyDescent="0.3">
      <c r="D370" s="305"/>
      <c r="E370" s="302"/>
      <c r="F370" s="302"/>
      <c r="G370" s="302"/>
      <c r="H370" s="302"/>
      <c r="L370" s="93"/>
    </row>
    <row r="371" spans="4:34" s="91" customFormat="1" ht="12.75" customHeight="1" x14ac:dyDescent="0.3">
      <c r="D371" s="305"/>
      <c r="E371" s="302"/>
      <c r="F371" s="302"/>
      <c r="G371" s="302"/>
      <c r="H371" s="302"/>
      <c r="L371" s="93"/>
    </row>
    <row r="372" spans="4:34" s="91" customFormat="1" ht="12.75" customHeight="1" x14ac:dyDescent="0.3">
      <c r="D372" s="305"/>
      <c r="E372" s="302"/>
      <c r="F372" s="302"/>
      <c r="G372" s="302"/>
      <c r="H372" s="302"/>
      <c r="L372" s="93"/>
    </row>
    <row r="373" spans="4:34" s="91" customFormat="1" ht="12.75" customHeight="1" x14ac:dyDescent="0.3">
      <c r="D373" s="305"/>
      <c r="E373" s="302"/>
      <c r="F373" s="302"/>
      <c r="G373" s="302"/>
      <c r="H373" s="302"/>
      <c r="L373" s="93"/>
    </row>
    <row r="374" spans="4:34" s="91" customFormat="1" ht="12.75" customHeight="1" x14ac:dyDescent="0.3">
      <c r="D374" s="305"/>
      <c r="E374" s="302"/>
      <c r="F374" s="302"/>
      <c r="G374" s="302"/>
      <c r="H374" s="302"/>
      <c r="L374" s="93"/>
    </row>
    <row r="375" spans="4:34" s="91" customFormat="1" ht="12.75" customHeight="1" x14ac:dyDescent="0.3">
      <c r="D375" s="305"/>
      <c r="E375" s="302"/>
      <c r="F375" s="302"/>
      <c r="G375" s="302"/>
      <c r="H375" s="302"/>
      <c r="L375" s="93"/>
    </row>
    <row r="376" spans="4:34" s="91" customFormat="1" ht="12.75" customHeight="1" x14ac:dyDescent="0.3">
      <c r="D376" s="305"/>
      <c r="E376" s="302"/>
      <c r="F376" s="302"/>
      <c r="G376" s="302"/>
      <c r="H376" s="302"/>
      <c r="L376" s="93"/>
    </row>
    <row r="377" spans="4:34" s="91" customFormat="1" ht="12.75" customHeight="1" x14ac:dyDescent="0.3">
      <c r="D377" s="305"/>
      <c r="E377" s="302"/>
      <c r="F377" s="302"/>
      <c r="G377" s="302"/>
      <c r="H377" s="302"/>
      <c r="L377" s="93"/>
    </row>
    <row r="378" spans="4:34" s="91" customFormat="1" ht="12.75" customHeight="1" x14ac:dyDescent="0.3">
      <c r="D378" s="305"/>
      <c r="E378" s="302"/>
      <c r="F378" s="302"/>
      <c r="G378" s="302"/>
      <c r="H378" s="302"/>
      <c r="L378" s="93"/>
    </row>
    <row r="379" spans="4:34" s="91" customFormat="1" ht="12.75" customHeight="1" x14ac:dyDescent="0.3">
      <c r="D379" s="305"/>
      <c r="E379" s="302"/>
      <c r="F379" s="302"/>
      <c r="G379" s="302"/>
      <c r="H379" s="302"/>
      <c r="L379" s="93"/>
    </row>
    <row r="380" spans="4:34" s="91" customFormat="1" ht="12.75" customHeight="1" x14ac:dyDescent="0.3">
      <c r="D380" s="305"/>
      <c r="E380" s="302"/>
      <c r="F380" s="302"/>
      <c r="G380" s="302"/>
      <c r="H380" s="302"/>
      <c r="L380" s="93"/>
    </row>
    <row r="381" spans="4:34" s="91" customFormat="1" ht="12.75" customHeight="1" x14ac:dyDescent="0.3">
      <c r="D381" s="305"/>
      <c r="E381" s="302"/>
      <c r="F381" s="302"/>
      <c r="G381" s="302"/>
      <c r="H381" s="302"/>
      <c r="L381" s="93"/>
    </row>
    <row r="382" spans="4:34" s="91" customFormat="1" ht="12.75" customHeight="1" x14ac:dyDescent="0.3">
      <c r="D382" s="305"/>
      <c r="E382" s="302"/>
      <c r="F382" s="302"/>
      <c r="G382" s="302"/>
      <c r="H382" s="302"/>
      <c r="L382" s="93"/>
    </row>
    <row r="383" spans="4:34" s="91" customFormat="1" ht="12.75" customHeight="1" x14ac:dyDescent="0.3">
      <c r="D383" s="305"/>
      <c r="E383" s="302"/>
      <c r="F383" s="302"/>
      <c r="G383" s="302"/>
      <c r="H383" s="302"/>
      <c r="L383" s="93"/>
    </row>
    <row r="384" spans="4:34" s="91" customFormat="1" ht="12.75" customHeight="1" x14ac:dyDescent="0.3">
      <c r="D384" s="305"/>
      <c r="E384" s="302"/>
      <c r="F384" s="302"/>
      <c r="G384" s="302"/>
      <c r="H384" s="302"/>
      <c r="L384" s="93"/>
      <c r="AF384" s="306"/>
      <c r="AG384" s="307"/>
      <c r="AH384" s="306"/>
    </row>
    <row r="385" spans="4:53" ht="12.75" customHeight="1" x14ac:dyDescent="0.3">
      <c r="D385" s="305"/>
      <c r="E385" s="302"/>
      <c r="F385" s="302"/>
      <c r="G385" s="302"/>
      <c r="H385" s="302"/>
      <c r="AF385" s="308"/>
      <c r="AG385" s="308"/>
      <c r="AH385" s="306"/>
      <c r="AI385" s="307"/>
      <c r="AJ385" s="309"/>
      <c r="AK385" s="310"/>
      <c r="AL385" s="311"/>
      <c r="AM385" s="312"/>
      <c r="AN385" s="312"/>
      <c r="AO385" s="313"/>
      <c r="AP385" s="314"/>
      <c r="AQ385" s="312"/>
      <c r="AR385" s="312"/>
      <c r="AS385" s="315">
        <v>20000</v>
      </c>
      <c r="AT385" s="312"/>
      <c r="AU385" s="306">
        <v>24</v>
      </c>
      <c r="AV385" s="316"/>
      <c r="AW385" s="317"/>
      <c r="AX385" s="316"/>
      <c r="AY385" s="312"/>
      <c r="AZ385" s="312"/>
      <c r="BA385" s="312"/>
    </row>
    <row r="386" spans="4:53" ht="12.75" customHeight="1" x14ac:dyDescent="0.3">
      <c r="D386" s="305"/>
      <c r="E386" s="302"/>
      <c r="F386" s="302"/>
      <c r="G386" s="302"/>
      <c r="H386" s="302"/>
      <c r="AF386" s="308"/>
      <c r="AG386" s="308"/>
      <c r="AH386" s="306"/>
      <c r="AI386" s="308"/>
      <c r="AJ386" s="318"/>
      <c r="AK386" s="319"/>
      <c r="AL386" s="320"/>
      <c r="AM386" s="315"/>
      <c r="AN386" s="315"/>
      <c r="AO386" s="321"/>
      <c r="AP386" s="322"/>
      <c r="AQ386" s="315"/>
      <c r="AR386" s="315"/>
      <c r="AS386" s="315">
        <v>15000</v>
      </c>
      <c r="AT386" s="315"/>
      <c r="AU386" s="308"/>
      <c r="AV386" s="323"/>
      <c r="AW386" s="324"/>
      <c r="AX386" s="323"/>
      <c r="AY386" s="315"/>
      <c r="AZ386" s="315"/>
      <c r="BA386" s="315"/>
    </row>
    <row r="387" spans="4:53" ht="12.75" customHeight="1" x14ac:dyDescent="0.3">
      <c r="D387" s="305"/>
      <c r="E387" s="302"/>
      <c r="F387" s="302"/>
      <c r="G387" s="302"/>
      <c r="H387" s="302"/>
      <c r="AF387" s="308"/>
      <c r="AG387" s="308"/>
      <c r="AH387" s="306"/>
      <c r="AI387" s="308"/>
      <c r="AJ387" s="318"/>
      <c r="AK387" s="319"/>
      <c r="AL387" s="320"/>
      <c r="AM387" s="315"/>
      <c r="AN387" s="315"/>
      <c r="AO387" s="321"/>
      <c r="AP387" s="322"/>
      <c r="AQ387" s="315"/>
      <c r="AR387" s="315"/>
      <c r="AS387" s="315"/>
      <c r="AT387" s="315"/>
      <c r="AU387" s="308"/>
      <c r="AV387" s="323"/>
      <c r="AW387" s="324"/>
      <c r="AX387" s="323"/>
      <c r="AY387" s="315"/>
      <c r="AZ387" s="315"/>
      <c r="BA387" s="315"/>
    </row>
    <row r="388" spans="4:53" ht="12.75" customHeight="1" x14ac:dyDescent="0.3">
      <c r="D388" s="305"/>
      <c r="E388" s="302"/>
      <c r="F388" s="302"/>
      <c r="G388" s="302"/>
      <c r="H388" s="302"/>
      <c r="AF388" s="308"/>
      <c r="AG388" s="308"/>
      <c r="AH388" s="306"/>
      <c r="AI388" s="308"/>
      <c r="AJ388" s="318"/>
      <c r="AK388" s="319"/>
      <c r="AL388" s="320"/>
      <c r="AM388" s="315"/>
      <c r="AN388" s="315"/>
      <c r="AO388" s="321"/>
      <c r="AP388" s="322"/>
      <c r="AQ388" s="315"/>
      <c r="AR388" s="315"/>
      <c r="AS388" s="315"/>
      <c r="AT388" s="315"/>
      <c r="AU388" s="308"/>
      <c r="AV388" s="323"/>
      <c r="AW388" s="324"/>
      <c r="AX388" s="323"/>
      <c r="AY388" s="315"/>
      <c r="AZ388" s="315"/>
      <c r="BA388" s="315"/>
    </row>
    <row r="389" spans="4:53" ht="12.75" customHeight="1" x14ac:dyDescent="0.3">
      <c r="D389" s="305"/>
      <c r="E389" s="302"/>
      <c r="F389" s="302"/>
      <c r="G389" s="302"/>
      <c r="H389" s="302"/>
      <c r="AF389" s="308"/>
      <c r="AG389" s="308"/>
      <c r="AH389" s="306"/>
      <c r="AI389" s="308"/>
      <c r="AJ389" s="318"/>
      <c r="AK389" s="319"/>
      <c r="AL389" s="320"/>
      <c r="AM389" s="315"/>
      <c r="AN389" s="315"/>
      <c r="AO389" s="321"/>
      <c r="AP389" s="322"/>
      <c r="AQ389" s="315"/>
      <c r="AR389" s="315"/>
      <c r="AS389" s="315"/>
      <c r="AT389" s="315"/>
      <c r="AU389" s="308"/>
      <c r="AV389" s="323"/>
      <c r="AW389" s="324"/>
      <c r="AX389" s="323"/>
      <c r="AY389" s="315"/>
      <c r="AZ389" s="315"/>
      <c r="BA389" s="315"/>
    </row>
    <row r="390" spans="4:53" ht="12.75" customHeight="1" x14ac:dyDescent="0.3">
      <c r="D390" s="305"/>
      <c r="E390" s="302"/>
      <c r="F390" s="302"/>
      <c r="G390" s="302"/>
      <c r="H390" s="302"/>
      <c r="AF390" s="308"/>
      <c r="AG390" s="308"/>
      <c r="AH390" s="306"/>
      <c r="AI390" s="308"/>
      <c r="AJ390" s="318"/>
      <c r="AK390" s="319"/>
      <c r="AL390" s="320"/>
      <c r="AM390" s="315"/>
      <c r="AN390" s="315"/>
      <c r="AO390" s="321"/>
      <c r="AP390" s="322"/>
      <c r="AQ390" s="315"/>
      <c r="AR390" s="315"/>
      <c r="AS390" s="315"/>
      <c r="AT390" s="315"/>
      <c r="AU390" s="308"/>
      <c r="AV390" s="323"/>
      <c r="AW390" s="324"/>
      <c r="AX390" s="323"/>
      <c r="AY390" s="315"/>
      <c r="AZ390" s="315"/>
      <c r="BA390" s="315"/>
    </row>
    <row r="391" spans="4:53" ht="12.75" customHeight="1" x14ac:dyDescent="0.3">
      <c r="D391" s="305"/>
      <c r="E391" s="302"/>
      <c r="F391" s="302"/>
      <c r="G391" s="302"/>
      <c r="H391" s="302"/>
      <c r="AF391" s="308"/>
      <c r="AG391" s="308"/>
      <c r="AH391" s="306"/>
      <c r="AI391" s="308"/>
      <c r="AJ391" s="318"/>
      <c r="AK391" s="319"/>
      <c r="AL391" s="320"/>
      <c r="AM391" s="315"/>
      <c r="AN391" s="315"/>
      <c r="AO391" s="321"/>
      <c r="AP391" s="322"/>
      <c r="AQ391" s="315"/>
      <c r="AR391" s="315"/>
      <c r="AS391" s="315"/>
      <c r="AT391" s="315"/>
      <c r="AU391" s="308"/>
      <c r="AV391" s="323"/>
      <c r="AW391" s="324"/>
      <c r="AX391" s="323"/>
      <c r="AY391" s="315"/>
      <c r="AZ391" s="315"/>
      <c r="BA391" s="315"/>
    </row>
    <row r="392" spans="4:53" ht="12.75" customHeight="1" x14ac:dyDescent="0.3">
      <c r="D392" s="305"/>
      <c r="E392" s="302"/>
      <c r="F392" s="302"/>
      <c r="G392" s="302"/>
      <c r="H392" s="302"/>
      <c r="AF392" s="308"/>
      <c r="AG392" s="308"/>
      <c r="AH392" s="306"/>
      <c r="AI392" s="308"/>
      <c r="AJ392" s="318"/>
      <c r="AK392" s="319"/>
      <c r="AL392" s="320"/>
      <c r="AM392" s="315"/>
      <c r="AN392" s="315"/>
      <c r="AO392" s="321"/>
      <c r="AP392" s="322"/>
      <c r="AQ392" s="315"/>
      <c r="AR392" s="315"/>
      <c r="AS392" s="315"/>
      <c r="AT392" s="315"/>
      <c r="AU392" s="308"/>
      <c r="AV392" s="323"/>
      <c r="AW392" s="324"/>
      <c r="AX392" s="323"/>
      <c r="AY392" s="315"/>
      <c r="AZ392" s="315"/>
      <c r="BA392" s="315"/>
    </row>
    <row r="393" spans="4:53" ht="12.75" customHeight="1" x14ac:dyDescent="0.3">
      <c r="D393" s="305"/>
      <c r="E393" s="302"/>
      <c r="F393" s="302"/>
      <c r="G393" s="302"/>
      <c r="H393" s="302"/>
      <c r="AF393" s="308"/>
      <c r="AG393" s="308"/>
      <c r="AH393" s="306"/>
      <c r="AI393" s="308"/>
      <c r="AJ393" s="318"/>
      <c r="AK393" s="319"/>
      <c r="AL393" s="320"/>
      <c r="AM393" s="315"/>
      <c r="AN393" s="315"/>
      <c r="AO393" s="321"/>
      <c r="AP393" s="322"/>
      <c r="AQ393" s="315"/>
      <c r="AR393" s="315"/>
      <c r="AS393" s="315"/>
      <c r="AT393" s="315"/>
      <c r="AU393" s="308"/>
      <c r="AV393" s="323"/>
      <c r="AW393" s="324"/>
      <c r="AX393" s="323"/>
      <c r="AY393" s="315"/>
      <c r="AZ393" s="315"/>
      <c r="BA393" s="315"/>
    </row>
    <row r="394" spans="4:53" ht="12.75" customHeight="1" x14ac:dyDescent="0.3">
      <c r="D394" s="305"/>
      <c r="E394" s="302"/>
      <c r="F394" s="302"/>
      <c r="G394" s="302"/>
      <c r="H394" s="302"/>
      <c r="AF394" s="93"/>
      <c r="AI394" s="308"/>
      <c r="AJ394" s="318"/>
      <c r="AK394" s="319"/>
      <c r="AL394" s="320"/>
      <c r="AM394" s="315"/>
      <c r="AN394" s="315"/>
      <c r="AO394" s="321"/>
      <c r="AP394" s="322"/>
      <c r="AQ394" s="315"/>
      <c r="AR394" s="315"/>
      <c r="AS394" s="315"/>
      <c r="AT394" s="315"/>
      <c r="AU394" s="308"/>
      <c r="AV394" s="323"/>
      <c r="AW394" s="324"/>
      <c r="AX394" s="323"/>
      <c r="AY394" s="315"/>
      <c r="AZ394" s="315"/>
      <c r="BA394" s="315"/>
    </row>
    <row r="395" spans="4:53" ht="12.75" customHeight="1" x14ac:dyDescent="0.3">
      <c r="D395" s="305"/>
      <c r="E395" s="302"/>
      <c r="F395" s="302"/>
      <c r="G395" s="302"/>
      <c r="H395" s="302"/>
      <c r="AF395" s="93"/>
      <c r="AJ395" s="325"/>
      <c r="AS395" s="92"/>
    </row>
    <row r="396" spans="4:53" ht="12.75" customHeight="1" x14ac:dyDescent="0.3">
      <c r="D396" s="305"/>
      <c r="E396" s="302"/>
      <c r="F396" s="302"/>
      <c r="G396" s="302"/>
      <c r="H396" s="302"/>
      <c r="AF396" s="93"/>
      <c r="AJ396" s="325"/>
      <c r="AS396" s="92"/>
    </row>
    <row r="397" spans="4:53" ht="12.75" customHeight="1" x14ac:dyDescent="0.3">
      <c r="D397" s="305"/>
      <c r="E397" s="302"/>
      <c r="F397" s="302"/>
      <c r="G397" s="302"/>
      <c r="H397" s="302"/>
      <c r="AF397" s="93"/>
      <c r="AJ397" s="325"/>
      <c r="AS397" s="92"/>
    </row>
    <row r="398" spans="4:53" ht="12.75" customHeight="1" x14ac:dyDescent="0.3">
      <c r="D398" s="305"/>
      <c r="E398" s="302"/>
      <c r="F398" s="302"/>
      <c r="G398" s="302"/>
      <c r="H398" s="302"/>
      <c r="AF398" s="93"/>
      <c r="AJ398" s="325"/>
      <c r="AS398" s="92"/>
    </row>
    <row r="399" spans="4:53" ht="12.75" customHeight="1" x14ac:dyDescent="0.3">
      <c r="D399" s="305"/>
      <c r="E399" s="302"/>
      <c r="F399" s="302"/>
      <c r="G399" s="302"/>
      <c r="H399" s="302"/>
      <c r="AF399" s="93"/>
      <c r="AJ399" s="325"/>
      <c r="AS399" s="92"/>
    </row>
    <row r="400" spans="4:53" ht="12.75" customHeight="1" x14ac:dyDescent="0.3">
      <c r="D400" s="305"/>
      <c r="E400" s="302"/>
      <c r="F400" s="302"/>
      <c r="G400" s="302"/>
      <c r="H400" s="302"/>
      <c r="AF400" s="93"/>
      <c r="AJ400" s="325"/>
      <c r="AS400" s="92"/>
    </row>
    <row r="401" spans="4:45" ht="12.75" customHeight="1" x14ac:dyDescent="0.3">
      <c r="D401" s="305"/>
      <c r="E401" s="302"/>
      <c r="F401" s="302"/>
      <c r="G401" s="302"/>
      <c r="H401" s="302"/>
      <c r="AF401" s="93"/>
      <c r="AJ401" s="325"/>
      <c r="AS401" s="92"/>
    </row>
    <row r="402" spans="4:45" ht="12.75" customHeight="1" x14ac:dyDescent="0.3">
      <c r="D402" s="305"/>
      <c r="E402" s="302"/>
      <c r="F402" s="302"/>
      <c r="G402" s="302"/>
      <c r="H402" s="302"/>
      <c r="AJ402" s="325"/>
      <c r="AS402" s="92"/>
    </row>
    <row r="403" spans="4:45" ht="12.75" customHeight="1" x14ac:dyDescent="0.3">
      <c r="D403" s="305"/>
      <c r="E403" s="302"/>
      <c r="F403" s="302"/>
      <c r="G403" s="302"/>
      <c r="H403" s="302"/>
      <c r="AJ403" s="325"/>
    </row>
    <row r="404" spans="4:45" ht="12.75" customHeight="1" x14ac:dyDescent="0.3">
      <c r="D404" s="305"/>
      <c r="E404" s="302"/>
      <c r="F404" s="302"/>
      <c r="G404" s="302"/>
      <c r="H404" s="302"/>
      <c r="AJ404" s="325"/>
    </row>
    <row r="405" spans="4:45" ht="12.75" customHeight="1" x14ac:dyDescent="0.3">
      <c r="D405" s="305"/>
      <c r="E405" s="302"/>
      <c r="F405" s="302"/>
      <c r="G405" s="302"/>
      <c r="H405" s="302"/>
      <c r="AJ405" s="325"/>
    </row>
    <row r="406" spans="4:45" ht="12.75" customHeight="1" x14ac:dyDescent="0.3">
      <c r="D406" s="305"/>
      <c r="E406" s="302"/>
      <c r="F406" s="302"/>
      <c r="G406" s="302"/>
      <c r="H406" s="302"/>
      <c r="AJ406" s="325"/>
    </row>
    <row r="407" spans="4:45" ht="12.75" customHeight="1" x14ac:dyDescent="0.3">
      <c r="D407" s="305"/>
      <c r="E407" s="302"/>
      <c r="F407" s="302"/>
      <c r="G407" s="302"/>
      <c r="H407" s="302"/>
      <c r="AJ407" s="325"/>
    </row>
    <row r="408" spans="4:45" ht="12.75" customHeight="1" x14ac:dyDescent="0.3">
      <c r="D408" s="305"/>
      <c r="E408" s="302"/>
      <c r="F408" s="302"/>
      <c r="G408" s="302"/>
      <c r="H408" s="302"/>
      <c r="AJ408" s="325"/>
    </row>
    <row r="409" spans="4:45" ht="12.75" customHeight="1" x14ac:dyDescent="0.3">
      <c r="D409" s="305"/>
      <c r="E409" s="302"/>
      <c r="F409" s="302"/>
      <c r="G409" s="302"/>
      <c r="H409" s="302"/>
      <c r="AJ409" s="325"/>
    </row>
    <row r="410" spans="4:45" ht="12.75" customHeight="1" x14ac:dyDescent="0.3">
      <c r="D410" s="305"/>
      <c r="E410" s="302"/>
      <c r="F410" s="302"/>
      <c r="G410" s="302"/>
      <c r="H410" s="302"/>
    </row>
    <row r="411" spans="4:45" ht="12.75" customHeight="1" x14ac:dyDescent="0.3">
      <c r="D411" s="305"/>
      <c r="E411" s="302"/>
      <c r="F411" s="302"/>
      <c r="G411" s="302"/>
      <c r="H411" s="302"/>
    </row>
    <row r="412" spans="4:45" ht="12.75" customHeight="1" x14ac:dyDescent="0.3">
      <c r="D412" s="305"/>
      <c r="E412" s="302"/>
      <c r="F412" s="302"/>
      <c r="G412" s="302"/>
      <c r="H412" s="302"/>
    </row>
    <row r="413" spans="4:45" ht="12.75" customHeight="1" x14ac:dyDescent="0.3">
      <c r="D413" s="305"/>
      <c r="E413" s="302"/>
      <c r="F413" s="302"/>
      <c r="G413" s="302"/>
      <c r="H413" s="302"/>
    </row>
    <row r="414" spans="4:45" ht="12.75" customHeight="1" x14ac:dyDescent="0.3">
      <c r="D414" s="305"/>
      <c r="E414" s="302"/>
      <c r="F414" s="302"/>
      <c r="G414" s="302"/>
      <c r="H414" s="302"/>
    </row>
    <row r="415" spans="4:45" ht="12.75" customHeight="1" x14ac:dyDescent="0.3">
      <c r="D415" s="305"/>
      <c r="E415" s="302"/>
      <c r="F415" s="302"/>
      <c r="G415" s="302"/>
      <c r="H415" s="302"/>
    </row>
    <row r="416" spans="4:45" ht="12.75" customHeight="1" x14ac:dyDescent="0.3">
      <c r="D416" s="305"/>
      <c r="E416" s="302"/>
      <c r="F416" s="302"/>
      <c r="G416" s="302"/>
      <c r="H416" s="302"/>
    </row>
    <row r="417" spans="4:8" ht="12.75" customHeight="1" x14ac:dyDescent="0.3">
      <c r="D417" s="305"/>
      <c r="E417" s="302"/>
      <c r="F417" s="302"/>
      <c r="G417" s="302"/>
      <c r="H417" s="302"/>
    </row>
    <row r="418" spans="4:8" ht="12.75" customHeight="1" x14ac:dyDescent="0.3">
      <c r="D418" s="305"/>
      <c r="E418" s="302"/>
      <c r="F418" s="302"/>
      <c r="G418" s="302"/>
      <c r="H418" s="302"/>
    </row>
    <row r="419" spans="4:8" ht="12.75" customHeight="1" x14ac:dyDescent="0.3">
      <c r="D419" s="305"/>
      <c r="E419" s="302"/>
      <c r="F419" s="302"/>
      <c r="G419" s="302"/>
      <c r="H419" s="302"/>
    </row>
    <row r="420" spans="4:8" ht="12.75" customHeight="1" x14ac:dyDescent="0.3">
      <c r="D420" s="305"/>
      <c r="E420" s="302"/>
      <c r="F420" s="302"/>
      <c r="G420" s="302"/>
      <c r="H420" s="302"/>
    </row>
    <row r="421" spans="4:8" ht="12.75" customHeight="1" x14ac:dyDescent="0.3">
      <c r="D421" s="305"/>
      <c r="E421" s="302"/>
      <c r="F421" s="302"/>
      <c r="G421" s="302"/>
      <c r="H421" s="302"/>
    </row>
    <row r="422" spans="4:8" ht="12.75" customHeight="1" x14ac:dyDescent="0.3">
      <c r="D422" s="305"/>
      <c r="E422" s="302"/>
      <c r="F422" s="302"/>
      <c r="G422" s="302"/>
      <c r="H422" s="302"/>
    </row>
    <row r="423" spans="4:8" ht="12.75" customHeight="1" x14ac:dyDescent="0.3">
      <c r="D423" s="305"/>
      <c r="E423" s="302"/>
      <c r="F423" s="302"/>
      <c r="G423" s="302"/>
      <c r="H423" s="302"/>
    </row>
    <row r="424" spans="4:8" ht="12.75" customHeight="1" x14ac:dyDescent="0.3">
      <c r="D424" s="305"/>
      <c r="E424" s="302"/>
      <c r="F424" s="302"/>
      <c r="G424" s="302"/>
      <c r="H424" s="302"/>
    </row>
    <row r="425" spans="4:8" ht="12.75" customHeight="1" x14ac:dyDescent="0.3">
      <c r="D425" s="305"/>
      <c r="E425" s="302"/>
      <c r="F425" s="302"/>
      <c r="G425" s="302"/>
      <c r="H425" s="302"/>
    </row>
    <row r="426" spans="4:8" ht="12.75" customHeight="1" x14ac:dyDescent="0.3">
      <c r="D426" s="305"/>
      <c r="E426" s="302"/>
      <c r="F426" s="302"/>
      <c r="G426" s="302"/>
      <c r="H426" s="302"/>
    </row>
    <row r="427" spans="4:8" ht="12.75" customHeight="1" x14ac:dyDescent="0.3">
      <c r="D427" s="305"/>
      <c r="E427" s="302"/>
      <c r="F427" s="302"/>
      <c r="G427" s="302"/>
      <c r="H427" s="302"/>
    </row>
    <row r="428" spans="4:8" ht="12.75" customHeight="1" x14ac:dyDescent="0.3">
      <c r="D428" s="305"/>
      <c r="E428" s="302"/>
      <c r="F428" s="302"/>
      <c r="G428" s="302"/>
      <c r="H428" s="302"/>
    </row>
    <row r="429" spans="4:8" ht="12.75" customHeight="1" x14ac:dyDescent="0.3">
      <c r="D429" s="305"/>
      <c r="E429" s="302"/>
      <c r="F429" s="302"/>
      <c r="G429" s="302"/>
      <c r="H429" s="302"/>
    </row>
    <row r="430" spans="4:8" ht="12.75" customHeight="1" x14ac:dyDescent="0.3">
      <c r="D430" s="305"/>
      <c r="E430" s="302"/>
      <c r="F430" s="302"/>
      <c r="G430" s="302"/>
      <c r="H430" s="302"/>
    </row>
    <row r="431" spans="4:8" ht="12.75" customHeight="1" x14ac:dyDescent="0.3">
      <c r="D431" s="305"/>
      <c r="E431" s="302"/>
      <c r="F431" s="302"/>
      <c r="G431" s="302"/>
      <c r="H431" s="302"/>
    </row>
    <row r="432" spans="4:8" ht="12.75" customHeight="1" x14ac:dyDescent="0.3">
      <c r="D432" s="305"/>
      <c r="E432" s="302"/>
      <c r="F432" s="302"/>
      <c r="G432" s="302"/>
      <c r="H432" s="302"/>
    </row>
    <row r="433" spans="4:8" ht="12.75" customHeight="1" x14ac:dyDescent="0.3">
      <c r="D433" s="305"/>
      <c r="E433" s="302"/>
      <c r="F433" s="302"/>
      <c r="G433" s="302"/>
      <c r="H433" s="302"/>
    </row>
    <row r="434" spans="4:8" ht="12.75" customHeight="1" x14ac:dyDescent="0.3">
      <c r="D434" s="305"/>
      <c r="E434" s="302"/>
      <c r="F434" s="302"/>
      <c r="G434" s="302"/>
      <c r="H434" s="302"/>
    </row>
    <row r="435" spans="4:8" ht="12.75" customHeight="1" x14ac:dyDescent="0.3">
      <c r="D435" s="305"/>
      <c r="E435" s="302"/>
      <c r="F435" s="302"/>
      <c r="G435" s="302"/>
      <c r="H435" s="302"/>
    </row>
    <row r="436" spans="4:8" ht="12.75" customHeight="1" x14ac:dyDescent="0.3">
      <c r="D436" s="305"/>
      <c r="E436" s="302"/>
      <c r="F436" s="302"/>
      <c r="G436" s="302"/>
      <c r="H436" s="302"/>
    </row>
    <row r="437" spans="4:8" ht="12.75" customHeight="1" x14ac:dyDescent="0.3">
      <c r="D437" s="305"/>
      <c r="E437" s="302"/>
      <c r="F437" s="302"/>
      <c r="G437" s="302"/>
      <c r="H437" s="302"/>
    </row>
    <row r="438" spans="4:8" ht="12.75" customHeight="1" x14ac:dyDescent="0.3">
      <c r="D438" s="305"/>
      <c r="E438" s="302"/>
      <c r="F438" s="302"/>
      <c r="G438" s="302"/>
      <c r="H438" s="302"/>
    </row>
    <row r="439" spans="4:8" ht="12.75" customHeight="1" x14ac:dyDescent="0.3">
      <c r="D439" s="305"/>
      <c r="E439" s="302"/>
      <c r="F439" s="302"/>
      <c r="G439" s="302"/>
      <c r="H439" s="302"/>
    </row>
    <row r="440" spans="4:8" ht="12.75" customHeight="1" x14ac:dyDescent="0.3">
      <c r="D440" s="305"/>
      <c r="E440" s="302"/>
      <c r="F440" s="302"/>
      <c r="G440" s="302"/>
      <c r="H440" s="302"/>
    </row>
    <row r="441" spans="4:8" ht="12.75" customHeight="1" x14ac:dyDescent="0.3">
      <c r="D441" s="305"/>
      <c r="E441" s="302"/>
      <c r="F441" s="302"/>
      <c r="G441" s="302"/>
      <c r="H441" s="302"/>
    </row>
    <row r="442" spans="4:8" ht="12.75" customHeight="1" x14ac:dyDescent="0.3">
      <c r="D442" s="305"/>
      <c r="E442" s="302"/>
      <c r="F442" s="302"/>
      <c r="G442" s="302"/>
      <c r="H442" s="302"/>
    </row>
    <row r="443" spans="4:8" ht="12.75" customHeight="1" x14ac:dyDescent="0.3">
      <c r="D443" s="305"/>
      <c r="E443" s="302"/>
      <c r="F443" s="302"/>
      <c r="G443" s="302"/>
      <c r="H443" s="302"/>
    </row>
    <row r="444" spans="4:8" ht="12.75" customHeight="1" x14ac:dyDescent="0.3">
      <c r="D444" s="305"/>
      <c r="E444" s="302"/>
      <c r="F444" s="302"/>
      <c r="G444" s="302"/>
      <c r="H444" s="302"/>
    </row>
    <row r="445" spans="4:8" ht="12.75" customHeight="1" x14ac:dyDescent="0.3">
      <c r="D445" s="305"/>
      <c r="E445" s="302"/>
      <c r="F445" s="302"/>
      <c r="G445" s="302"/>
      <c r="H445" s="302"/>
    </row>
    <row r="446" spans="4:8" ht="12.75" customHeight="1" x14ac:dyDescent="0.3">
      <c r="D446" s="305"/>
      <c r="E446" s="302"/>
      <c r="F446" s="302"/>
      <c r="G446" s="302"/>
      <c r="H446" s="302"/>
    </row>
    <row r="447" spans="4:8" ht="12.75" customHeight="1" x14ac:dyDescent="0.3">
      <c r="D447" s="305"/>
      <c r="E447" s="302"/>
      <c r="F447" s="302"/>
      <c r="G447" s="302"/>
      <c r="H447" s="302"/>
    </row>
    <row r="448" spans="4:8" ht="12.75" customHeight="1" x14ac:dyDescent="0.3">
      <c r="D448" s="305"/>
      <c r="E448" s="302"/>
      <c r="F448" s="302"/>
      <c r="G448" s="302"/>
      <c r="H448" s="302"/>
    </row>
    <row r="449" spans="4:8" ht="12.75" customHeight="1" x14ac:dyDescent="0.3">
      <c r="D449" s="305"/>
      <c r="E449" s="302"/>
      <c r="F449" s="302"/>
      <c r="G449" s="302"/>
      <c r="H449" s="302"/>
    </row>
    <row r="450" spans="4:8" ht="12.75" customHeight="1" x14ac:dyDescent="0.3">
      <c r="D450" s="305"/>
      <c r="E450" s="302"/>
      <c r="F450" s="302"/>
      <c r="G450" s="302"/>
      <c r="H450" s="302"/>
    </row>
    <row r="451" spans="4:8" ht="12.75" customHeight="1" x14ac:dyDescent="0.3">
      <c r="D451" s="305"/>
      <c r="E451" s="302"/>
      <c r="F451" s="302"/>
      <c r="G451" s="302"/>
      <c r="H451" s="302"/>
    </row>
    <row r="452" spans="4:8" ht="12.75" customHeight="1" x14ac:dyDescent="0.3">
      <c r="D452" s="305"/>
      <c r="E452" s="302"/>
      <c r="F452" s="302"/>
      <c r="G452" s="302"/>
      <c r="H452" s="302"/>
    </row>
    <row r="453" spans="4:8" ht="12.75" customHeight="1" x14ac:dyDescent="0.3">
      <c r="D453" s="305"/>
      <c r="E453" s="302"/>
      <c r="F453" s="302"/>
      <c r="G453" s="302"/>
      <c r="H453" s="302"/>
    </row>
    <row r="454" spans="4:8" ht="12.75" customHeight="1" x14ac:dyDescent="0.3">
      <c r="D454" s="305"/>
      <c r="E454" s="302"/>
      <c r="F454" s="302"/>
      <c r="G454" s="302"/>
      <c r="H454" s="302"/>
    </row>
    <row r="455" spans="4:8" ht="12.75" customHeight="1" x14ac:dyDescent="0.3">
      <c r="D455" s="305"/>
      <c r="E455" s="302"/>
      <c r="F455" s="302"/>
      <c r="G455" s="302"/>
      <c r="H455" s="302"/>
    </row>
    <row r="456" spans="4:8" ht="12.75" customHeight="1" x14ac:dyDescent="0.3">
      <c r="D456" s="305"/>
      <c r="E456" s="302"/>
      <c r="F456" s="302"/>
      <c r="G456" s="302"/>
      <c r="H456" s="302"/>
    </row>
    <row r="457" spans="4:8" ht="12.75" customHeight="1" x14ac:dyDescent="0.3">
      <c r="D457" s="305"/>
      <c r="E457" s="302"/>
      <c r="F457" s="302"/>
      <c r="G457" s="302"/>
      <c r="H457" s="302"/>
    </row>
    <row r="458" spans="4:8" ht="12.75" customHeight="1" x14ac:dyDescent="0.3">
      <c r="D458" s="305"/>
      <c r="E458" s="302"/>
      <c r="F458" s="302"/>
      <c r="G458" s="302"/>
      <c r="H458" s="302"/>
    </row>
    <row r="459" spans="4:8" ht="12.75" customHeight="1" x14ac:dyDescent="0.3">
      <c r="D459" s="305"/>
      <c r="E459" s="302"/>
      <c r="F459" s="302"/>
      <c r="G459" s="302"/>
      <c r="H459" s="302"/>
    </row>
    <row r="460" spans="4:8" ht="12.75" customHeight="1" x14ac:dyDescent="0.3">
      <c r="D460" s="305"/>
      <c r="E460" s="302"/>
      <c r="F460" s="302"/>
      <c r="G460" s="302"/>
      <c r="H460" s="302"/>
    </row>
    <row r="461" spans="4:8" ht="12.75" customHeight="1" x14ac:dyDescent="0.3">
      <c r="D461" s="305"/>
      <c r="E461" s="302"/>
      <c r="F461" s="302"/>
      <c r="G461" s="302"/>
      <c r="H461" s="302"/>
    </row>
    <row r="462" spans="4:8" ht="12.75" customHeight="1" x14ac:dyDescent="0.3">
      <c r="D462" s="305"/>
      <c r="E462" s="302"/>
      <c r="F462" s="302"/>
      <c r="G462" s="302"/>
      <c r="H462" s="302"/>
    </row>
    <row r="463" spans="4:8" ht="12.75" customHeight="1" x14ac:dyDescent="0.3">
      <c r="D463" s="305"/>
      <c r="E463" s="302"/>
      <c r="F463" s="302"/>
      <c r="G463" s="302"/>
      <c r="H463" s="302"/>
    </row>
    <row r="464" spans="4:8" ht="12.75" customHeight="1" x14ac:dyDescent="0.3">
      <c r="D464" s="305"/>
      <c r="E464" s="302"/>
      <c r="F464" s="302"/>
      <c r="G464" s="302"/>
      <c r="H464" s="302"/>
    </row>
    <row r="465" spans="4:8" ht="12.75" customHeight="1" x14ac:dyDescent="0.3">
      <c r="D465" s="305"/>
      <c r="E465" s="302"/>
      <c r="F465" s="302"/>
      <c r="G465" s="302"/>
      <c r="H465" s="302"/>
    </row>
    <row r="466" spans="4:8" ht="12.75" customHeight="1" x14ac:dyDescent="0.3">
      <c r="D466" s="305"/>
      <c r="E466" s="302"/>
      <c r="F466" s="302"/>
      <c r="G466" s="302"/>
      <c r="H466" s="302"/>
    </row>
    <row r="467" spans="4:8" ht="12.75" customHeight="1" x14ac:dyDescent="0.3">
      <c r="D467" s="305"/>
      <c r="E467" s="302"/>
      <c r="F467" s="302"/>
      <c r="G467" s="302"/>
      <c r="H467" s="302"/>
    </row>
    <row r="468" spans="4:8" ht="12.75" customHeight="1" x14ac:dyDescent="0.3">
      <c r="D468" s="305"/>
      <c r="E468" s="302"/>
      <c r="F468" s="302"/>
      <c r="G468" s="302"/>
      <c r="H468" s="302"/>
    </row>
    <row r="469" spans="4:8" ht="12.75" customHeight="1" x14ac:dyDescent="0.3">
      <c r="D469" s="305"/>
      <c r="E469" s="302"/>
      <c r="F469" s="302"/>
      <c r="G469" s="302"/>
      <c r="H469" s="302"/>
    </row>
    <row r="470" spans="4:8" ht="12.75" customHeight="1" x14ac:dyDescent="0.3">
      <c r="D470" s="305"/>
      <c r="E470" s="302"/>
      <c r="F470" s="302"/>
      <c r="G470" s="302"/>
      <c r="H470" s="302"/>
    </row>
    <row r="471" spans="4:8" ht="12.75" customHeight="1" x14ac:dyDescent="0.3">
      <c r="D471" s="305"/>
      <c r="E471" s="302"/>
      <c r="F471" s="302"/>
      <c r="G471" s="302"/>
      <c r="H471" s="302"/>
    </row>
    <row r="472" spans="4:8" ht="12.75" customHeight="1" x14ac:dyDescent="0.3">
      <c r="D472" s="305"/>
      <c r="E472" s="302"/>
      <c r="F472" s="302"/>
      <c r="G472" s="302"/>
      <c r="H472" s="302"/>
    </row>
    <row r="473" spans="4:8" ht="12.75" customHeight="1" x14ac:dyDescent="0.3">
      <c r="D473" s="305"/>
      <c r="E473" s="302"/>
      <c r="F473" s="302"/>
      <c r="G473" s="302"/>
      <c r="H473" s="302"/>
    </row>
    <row r="474" spans="4:8" ht="12.75" customHeight="1" x14ac:dyDescent="0.3">
      <c r="D474" s="305"/>
      <c r="E474" s="302"/>
      <c r="F474" s="302"/>
      <c r="G474" s="302"/>
      <c r="H474" s="302"/>
    </row>
    <row r="475" spans="4:8" ht="12.75" customHeight="1" x14ac:dyDescent="0.3">
      <c r="D475" s="305"/>
      <c r="E475" s="302"/>
      <c r="F475" s="302"/>
      <c r="G475" s="302"/>
      <c r="H475" s="302"/>
    </row>
    <row r="476" spans="4:8" ht="12.75" customHeight="1" x14ac:dyDescent="0.3">
      <c r="D476" s="305"/>
      <c r="E476" s="302"/>
      <c r="F476" s="302"/>
      <c r="G476" s="302"/>
      <c r="H476" s="302"/>
    </row>
    <row r="477" spans="4:8" ht="12.75" customHeight="1" x14ac:dyDescent="0.3">
      <c r="D477" s="305"/>
      <c r="E477" s="302"/>
      <c r="F477" s="302"/>
      <c r="G477" s="302"/>
      <c r="H477" s="302"/>
    </row>
    <row r="478" spans="4:8" ht="12.75" customHeight="1" x14ac:dyDescent="0.3">
      <c r="D478" s="305"/>
      <c r="E478" s="302"/>
      <c r="F478" s="302"/>
      <c r="G478" s="302"/>
      <c r="H478" s="302"/>
    </row>
    <row r="479" spans="4:8" ht="12.75" customHeight="1" x14ac:dyDescent="0.3">
      <c r="D479" s="305"/>
      <c r="E479" s="302"/>
      <c r="F479" s="302"/>
      <c r="G479" s="302"/>
      <c r="H479" s="302"/>
    </row>
    <row r="480" spans="4:8" ht="12.75" customHeight="1" x14ac:dyDescent="0.3">
      <c r="D480" s="305"/>
      <c r="E480" s="302"/>
      <c r="F480" s="302"/>
      <c r="G480" s="302"/>
      <c r="H480" s="302"/>
    </row>
    <row r="481" spans="4:8" ht="12.75" customHeight="1" x14ac:dyDescent="0.3">
      <c r="D481" s="305"/>
      <c r="E481" s="302"/>
      <c r="F481" s="302"/>
      <c r="G481" s="302"/>
      <c r="H481" s="302"/>
    </row>
    <row r="482" spans="4:8" ht="12.75" customHeight="1" x14ac:dyDescent="0.3">
      <c r="D482" s="305"/>
      <c r="E482" s="302"/>
      <c r="F482" s="302"/>
      <c r="G482" s="302"/>
      <c r="H482" s="302"/>
    </row>
    <row r="483" spans="4:8" ht="12.75" customHeight="1" x14ac:dyDescent="0.3">
      <c r="D483" s="305"/>
      <c r="E483" s="302"/>
      <c r="F483" s="302"/>
      <c r="G483" s="302"/>
      <c r="H483" s="302"/>
    </row>
    <row r="484" spans="4:8" ht="12.75" customHeight="1" x14ac:dyDescent="0.3">
      <c r="D484" s="305"/>
      <c r="E484" s="302"/>
      <c r="F484" s="302"/>
      <c r="G484" s="302"/>
      <c r="H484" s="302"/>
    </row>
    <row r="485" spans="4:8" ht="12.75" customHeight="1" x14ac:dyDescent="0.3">
      <c r="D485" s="305"/>
      <c r="E485" s="302"/>
      <c r="F485" s="302"/>
      <c r="G485" s="302"/>
      <c r="H485" s="302"/>
    </row>
    <row r="486" spans="4:8" ht="12.75" customHeight="1" x14ac:dyDescent="0.3">
      <c r="D486" s="305"/>
      <c r="E486" s="302"/>
      <c r="F486" s="302"/>
      <c r="G486" s="302"/>
      <c r="H486" s="302"/>
    </row>
    <row r="487" spans="4:8" ht="12.75" customHeight="1" x14ac:dyDescent="0.3">
      <c r="D487" s="305"/>
      <c r="E487" s="302"/>
      <c r="F487" s="302"/>
      <c r="G487" s="302"/>
      <c r="H487" s="302"/>
    </row>
    <row r="488" spans="4:8" ht="12.75" customHeight="1" x14ac:dyDescent="0.3">
      <c r="D488" s="305"/>
      <c r="E488" s="302"/>
      <c r="F488" s="302"/>
      <c r="G488" s="302"/>
      <c r="H488" s="302"/>
    </row>
    <row r="489" spans="4:8" ht="12.75" customHeight="1" x14ac:dyDescent="0.3">
      <c r="D489" s="305"/>
      <c r="E489" s="302"/>
      <c r="F489" s="302"/>
      <c r="G489" s="302"/>
      <c r="H489" s="302"/>
    </row>
    <row r="490" spans="4:8" ht="12.75" customHeight="1" x14ac:dyDescent="0.3">
      <c r="D490" s="305"/>
      <c r="E490" s="302"/>
      <c r="F490" s="302"/>
      <c r="G490" s="302"/>
      <c r="H490" s="302"/>
    </row>
    <row r="491" spans="4:8" ht="12.75" customHeight="1" x14ac:dyDescent="0.3">
      <c r="D491" s="305"/>
      <c r="E491" s="302"/>
      <c r="F491" s="302"/>
      <c r="G491" s="302"/>
      <c r="H491" s="302"/>
    </row>
    <row r="492" spans="4:8" ht="12.75" customHeight="1" x14ac:dyDescent="0.3">
      <c r="D492" s="305"/>
      <c r="E492" s="302"/>
      <c r="F492" s="302"/>
      <c r="G492" s="302"/>
      <c r="H492" s="302"/>
    </row>
    <row r="493" spans="4:8" ht="12.75" customHeight="1" x14ac:dyDescent="0.3">
      <c r="D493" s="305"/>
      <c r="E493" s="302"/>
      <c r="F493" s="302"/>
      <c r="G493" s="302"/>
      <c r="H493" s="302"/>
    </row>
    <row r="494" spans="4:8" ht="12.75" customHeight="1" x14ac:dyDescent="0.3">
      <c r="D494" s="305"/>
      <c r="E494" s="302"/>
      <c r="F494" s="302"/>
      <c r="G494" s="302"/>
      <c r="H494" s="302"/>
    </row>
    <row r="495" spans="4:8" ht="12.75" customHeight="1" x14ac:dyDescent="0.3">
      <c r="D495" s="305"/>
      <c r="E495" s="302"/>
      <c r="F495" s="302"/>
      <c r="G495" s="302"/>
      <c r="H495" s="302"/>
    </row>
    <row r="496" spans="4:8" ht="12.75" customHeight="1" x14ac:dyDescent="0.3">
      <c r="D496" s="305"/>
      <c r="E496" s="302"/>
      <c r="F496" s="302"/>
      <c r="G496" s="302"/>
      <c r="H496" s="302"/>
    </row>
    <row r="497" spans="4:8" ht="12.75" customHeight="1" x14ac:dyDescent="0.3">
      <c r="D497" s="305"/>
      <c r="E497" s="302"/>
      <c r="F497" s="302"/>
      <c r="G497" s="302"/>
      <c r="H497" s="302"/>
    </row>
    <row r="498" spans="4:8" ht="12.75" customHeight="1" x14ac:dyDescent="0.3">
      <c r="D498" s="305"/>
      <c r="E498" s="302"/>
      <c r="F498" s="302"/>
      <c r="G498" s="302"/>
      <c r="H498" s="302"/>
    </row>
    <row r="499" spans="4:8" ht="12.75" customHeight="1" x14ac:dyDescent="0.3">
      <c r="D499" s="305"/>
      <c r="E499" s="302"/>
      <c r="F499" s="302"/>
      <c r="G499" s="302"/>
      <c r="H499" s="302"/>
    </row>
    <row r="500" spans="4:8" ht="12.75" customHeight="1" x14ac:dyDescent="0.3">
      <c r="D500" s="305"/>
      <c r="E500" s="302"/>
      <c r="F500" s="302"/>
      <c r="G500" s="302"/>
      <c r="H500" s="302"/>
    </row>
    <row r="501" spans="4:8" ht="12.75" customHeight="1" x14ac:dyDescent="0.3">
      <c r="D501" s="305"/>
      <c r="E501" s="302"/>
      <c r="F501" s="302"/>
      <c r="G501" s="302"/>
      <c r="H501" s="302"/>
    </row>
    <row r="502" spans="4:8" ht="12.75" customHeight="1" x14ac:dyDescent="0.3">
      <c r="D502" s="305"/>
      <c r="E502" s="302"/>
      <c r="F502" s="302"/>
      <c r="G502" s="302"/>
      <c r="H502" s="302"/>
    </row>
    <row r="503" spans="4:8" ht="12.75" customHeight="1" x14ac:dyDescent="0.3">
      <c r="D503" s="305"/>
      <c r="E503" s="302"/>
      <c r="F503" s="302"/>
      <c r="G503" s="302"/>
      <c r="H503" s="302"/>
    </row>
    <row r="504" spans="4:8" ht="12.75" customHeight="1" x14ac:dyDescent="0.3">
      <c r="D504" s="305"/>
      <c r="E504" s="302"/>
      <c r="F504" s="302"/>
      <c r="G504" s="302"/>
      <c r="H504" s="302"/>
    </row>
    <row r="505" spans="4:8" ht="12.75" customHeight="1" x14ac:dyDescent="0.3">
      <c r="D505" s="305"/>
      <c r="E505" s="302"/>
      <c r="F505" s="302"/>
      <c r="G505" s="302"/>
      <c r="H505" s="302"/>
    </row>
    <row r="506" spans="4:8" ht="12.75" customHeight="1" x14ac:dyDescent="0.3">
      <c r="D506" s="305"/>
      <c r="E506" s="302"/>
      <c r="F506" s="302"/>
      <c r="G506" s="302"/>
      <c r="H506" s="302"/>
    </row>
    <row r="507" spans="4:8" ht="12.75" customHeight="1" x14ac:dyDescent="0.3">
      <c r="D507" s="305"/>
      <c r="E507" s="302"/>
      <c r="F507" s="302"/>
      <c r="G507" s="302"/>
      <c r="H507" s="302"/>
    </row>
    <row r="508" spans="4:8" ht="12.75" customHeight="1" x14ac:dyDescent="0.3">
      <c r="D508" s="305"/>
      <c r="E508" s="302"/>
      <c r="F508" s="302"/>
      <c r="G508" s="302"/>
      <c r="H508" s="302"/>
    </row>
    <row r="509" spans="4:8" ht="12.75" customHeight="1" x14ac:dyDescent="0.3">
      <c r="D509" s="305"/>
      <c r="E509" s="302"/>
      <c r="F509" s="302"/>
      <c r="G509" s="302"/>
      <c r="H509" s="302"/>
    </row>
    <row r="510" spans="4:8" ht="12.75" customHeight="1" x14ac:dyDescent="0.3">
      <c r="D510" s="305"/>
      <c r="E510" s="302"/>
      <c r="F510" s="302"/>
      <c r="G510" s="302"/>
      <c r="H510" s="302"/>
    </row>
    <row r="511" spans="4:8" ht="12.75" customHeight="1" x14ac:dyDescent="0.3">
      <c r="D511" s="305"/>
      <c r="E511" s="302"/>
      <c r="F511" s="302"/>
      <c r="G511" s="302"/>
      <c r="H511" s="302"/>
    </row>
    <row r="512" spans="4:8" ht="12.75" customHeight="1" x14ac:dyDescent="0.3">
      <c r="D512" s="305"/>
      <c r="E512" s="302"/>
      <c r="F512" s="302"/>
      <c r="G512" s="302"/>
      <c r="H512" s="302"/>
    </row>
    <row r="513" spans="4:8" ht="12.75" customHeight="1" x14ac:dyDescent="0.3">
      <c r="D513" s="305"/>
      <c r="E513" s="302"/>
      <c r="F513" s="302"/>
      <c r="G513" s="302"/>
      <c r="H513" s="302"/>
    </row>
    <row r="514" spans="4:8" ht="12.75" customHeight="1" x14ac:dyDescent="0.3">
      <c r="D514" s="305"/>
      <c r="E514" s="302"/>
      <c r="F514" s="302"/>
      <c r="G514" s="302"/>
      <c r="H514" s="302"/>
    </row>
    <row r="515" spans="4:8" ht="12.75" customHeight="1" x14ac:dyDescent="0.3">
      <c r="D515" s="305"/>
      <c r="E515" s="302"/>
      <c r="F515" s="302"/>
      <c r="G515" s="302"/>
      <c r="H515" s="302"/>
    </row>
    <row r="516" spans="4:8" ht="12.75" customHeight="1" x14ac:dyDescent="0.3">
      <c r="D516" s="305"/>
      <c r="E516" s="302"/>
      <c r="F516" s="302"/>
      <c r="G516" s="302"/>
      <c r="H516" s="302"/>
    </row>
    <row r="517" spans="4:8" ht="12.75" customHeight="1" x14ac:dyDescent="0.3">
      <c r="D517" s="305"/>
      <c r="E517" s="302"/>
      <c r="F517" s="302"/>
      <c r="G517" s="302"/>
      <c r="H517" s="302"/>
    </row>
    <row r="518" spans="4:8" ht="12.75" customHeight="1" x14ac:dyDescent="0.3">
      <c r="D518" s="305"/>
      <c r="E518" s="302"/>
      <c r="F518" s="302"/>
      <c r="G518" s="302"/>
      <c r="H518" s="302"/>
    </row>
    <row r="519" spans="4:8" ht="12.75" customHeight="1" x14ac:dyDescent="0.3">
      <c r="D519" s="305"/>
      <c r="E519" s="302"/>
      <c r="F519" s="302"/>
      <c r="G519" s="302"/>
      <c r="H519" s="302"/>
    </row>
    <row r="520" spans="4:8" ht="12.75" customHeight="1" x14ac:dyDescent="0.3">
      <c r="D520" s="305"/>
      <c r="E520" s="302"/>
      <c r="F520" s="302"/>
      <c r="G520" s="302"/>
      <c r="H520" s="302"/>
    </row>
    <row r="521" spans="4:8" ht="12.75" customHeight="1" x14ac:dyDescent="0.3">
      <c r="D521" s="305"/>
      <c r="E521" s="302"/>
      <c r="F521" s="302"/>
      <c r="G521" s="302"/>
      <c r="H521" s="302"/>
    </row>
    <row r="522" spans="4:8" ht="12.75" customHeight="1" x14ac:dyDescent="0.3">
      <c r="D522" s="305"/>
      <c r="E522" s="302"/>
      <c r="F522" s="302"/>
      <c r="G522" s="302"/>
      <c r="H522" s="302"/>
    </row>
    <row r="523" spans="4:8" ht="12.75" customHeight="1" x14ac:dyDescent="0.3">
      <c r="D523" s="305"/>
      <c r="E523" s="302"/>
      <c r="F523" s="302"/>
      <c r="G523" s="302"/>
      <c r="H523" s="302"/>
    </row>
    <row r="524" spans="4:8" ht="12.75" customHeight="1" x14ac:dyDescent="0.3">
      <c r="D524" s="305"/>
      <c r="E524" s="302"/>
      <c r="F524" s="302"/>
      <c r="G524" s="302"/>
      <c r="H524" s="302"/>
    </row>
    <row r="525" spans="4:8" ht="12.75" customHeight="1" x14ac:dyDescent="0.3">
      <c r="D525" s="305"/>
      <c r="E525" s="302"/>
      <c r="F525" s="302"/>
      <c r="G525" s="302"/>
      <c r="H525" s="302"/>
    </row>
    <row r="526" spans="4:8" ht="12.75" customHeight="1" x14ac:dyDescent="0.3">
      <c r="D526" s="305"/>
      <c r="E526" s="302"/>
      <c r="F526" s="302"/>
      <c r="G526" s="302"/>
      <c r="H526" s="302"/>
    </row>
    <row r="527" spans="4:8" ht="12.75" customHeight="1" x14ac:dyDescent="0.3">
      <c r="D527" s="305"/>
      <c r="E527" s="302"/>
      <c r="F527" s="302"/>
      <c r="G527" s="302"/>
      <c r="H527" s="302"/>
    </row>
    <row r="528" spans="4:8" ht="12.75" customHeight="1" x14ac:dyDescent="0.3">
      <c r="D528" s="305"/>
      <c r="E528" s="302"/>
      <c r="F528" s="302"/>
      <c r="G528" s="302"/>
      <c r="H528" s="302"/>
    </row>
    <row r="529" spans="4:8" ht="12.75" customHeight="1" x14ac:dyDescent="0.3">
      <c r="D529" s="305"/>
      <c r="E529" s="302"/>
      <c r="F529" s="302"/>
      <c r="G529" s="302"/>
      <c r="H529" s="302"/>
    </row>
    <row r="530" spans="4:8" ht="12.75" customHeight="1" x14ac:dyDescent="0.3">
      <c r="D530" s="305"/>
      <c r="E530" s="302"/>
      <c r="F530" s="302"/>
      <c r="G530" s="302"/>
      <c r="H530" s="302"/>
    </row>
    <row r="531" spans="4:8" ht="12.75" customHeight="1" x14ac:dyDescent="0.3">
      <c r="D531" s="305"/>
      <c r="E531" s="302"/>
      <c r="F531" s="302"/>
      <c r="G531" s="302"/>
      <c r="H531" s="302"/>
    </row>
    <row r="532" spans="4:8" ht="12.75" customHeight="1" x14ac:dyDescent="0.3">
      <c r="D532" s="305"/>
      <c r="E532" s="302"/>
      <c r="F532" s="302"/>
      <c r="G532" s="302"/>
      <c r="H532" s="302"/>
    </row>
    <row r="533" spans="4:8" ht="12.75" customHeight="1" x14ac:dyDescent="0.3">
      <c r="D533" s="305"/>
      <c r="E533" s="302"/>
      <c r="F533" s="302"/>
      <c r="G533" s="302"/>
      <c r="H533" s="302"/>
    </row>
    <row r="534" spans="4:8" ht="12.75" customHeight="1" x14ac:dyDescent="0.3">
      <c r="D534" s="305"/>
      <c r="E534" s="302"/>
      <c r="F534" s="302"/>
      <c r="G534" s="302"/>
      <c r="H534" s="302"/>
    </row>
    <row r="535" spans="4:8" ht="12.75" customHeight="1" x14ac:dyDescent="0.3">
      <c r="D535" s="305"/>
      <c r="E535" s="302"/>
      <c r="F535" s="302"/>
      <c r="G535" s="302"/>
      <c r="H535" s="302"/>
    </row>
    <row r="536" spans="4:8" ht="12.75" customHeight="1" x14ac:dyDescent="0.3">
      <c r="D536" s="305"/>
      <c r="E536" s="302"/>
      <c r="F536" s="302"/>
      <c r="G536" s="302"/>
      <c r="H536" s="302"/>
    </row>
    <row r="537" spans="4:8" ht="12.75" customHeight="1" x14ac:dyDescent="0.3">
      <c r="D537" s="305"/>
      <c r="E537" s="302"/>
      <c r="F537" s="302"/>
      <c r="G537" s="302"/>
      <c r="H537" s="302"/>
    </row>
    <row r="538" spans="4:8" ht="12.75" customHeight="1" x14ac:dyDescent="0.3">
      <c r="D538" s="305"/>
      <c r="E538" s="302"/>
      <c r="F538" s="302"/>
      <c r="G538" s="302"/>
      <c r="H538" s="302"/>
    </row>
    <row r="539" spans="4:8" ht="12.75" customHeight="1" x14ac:dyDescent="0.3">
      <c r="D539" s="305"/>
      <c r="E539" s="302"/>
      <c r="F539" s="302"/>
      <c r="G539" s="302"/>
      <c r="H539" s="302"/>
    </row>
    <row r="540" spans="4:8" ht="12.75" customHeight="1" x14ac:dyDescent="0.3">
      <c r="D540" s="305"/>
      <c r="E540" s="302"/>
      <c r="F540" s="302"/>
      <c r="G540" s="302"/>
      <c r="H540" s="302"/>
    </row>
    <row r="541" spans="4:8" ht="12.75" customHeight="1" x14ac:dyDescent="0.3">
      <c r="D541" s="305"/>
      <c r="E541" s="302"/>
      <c r="F541" s="302"/>
      <c r="G541" s="302"/>
      <c r="H541" s="302"/>
    </row>
    <row r="542" spans="4:8" ht="12.75" customHeight="1" x14ac:dyDescent="0.3">
      <c r="D542" s="305"/>
      <c r="E542" s="302"/>
      <c r="F542" s="302"/>
      <c r="G542" s="302"/>
      <c r="H542" s="302"/>
    </row>
    <row r="543" spans="4:8" ht="12.75" customHeight="1" x14ac:dyDescent="0.3">
      <c r="D543" s="305"/>
      <c r="E543" s="302"/>
      <c r="F543" s="302"/>
      <c r="G543" s="302"/>
      <c r="H543" s="302"/>
    </row>
    <row r="544" spans="4:8" ht="12.75" customHeight="1" x14ac:dyDescent="0.3">
      <c r="D544" s="305"/>
      <c r="E544" s="302"/>
      <c r="F544" s="302"/>
      <c r="G544" s="302"/>
      <c r="H544" s="302"/>
    </row>
    <row r="545" spans="4:8" ht="12.75" customHeight="1" x14ac:dyDescent="0.3">
      <c r="D545" s="305"/>
      <c r="E545" s="302"/>
      <c r="F545" s="302"/>
      <c r="G545" s="302"/>
      <c r="H545" s="302"/>
    </row>
    <row r="546" spans="4:8" ht="12.75" customHeight="1" x14ac:dyDescent="0.3">
      <c r="D546" s="305"/>
      <c r="E546" s="302"/>
      <c r="F546" s="302"/>
      <c r="G546" s="302"/>
      <c r="H546" s="302"/>
    </row>
    <row r="547" spans="4:8" ht="12.75" customHeight="1" x14ac:dyDescent="0.3">
      <c r="D547" s="305"/>
      <c r="E547" s="302"/>
      <c r="F547" s="302"/>
      <c r="G547" s="302"/>
      <c r="H547" s="302"/>
    </row>
    <row r="548" spans="4:8" ht="12.75" customHeight="1" x14ac:dyDescent="0.3">
      <c r="D548" s="305"/>
      <c r="E548" s="302"/>
      <c r="F548" s="302"/>
      <c r="G548" s="302"/>
      <c r="H548" s="302"/>
    </row>
    <row r="549" spans="4:8" ht="12.75" customHeight="1" x14ac:dyDescent="0.3">
      <c r="D549" s="305"/>
      <c r="E549" s="302"/>
      <c r="F549" s="302"/>
      <c r="G549" s="302"/>
      <c r="H549" s="302"/>
    </row>
    <row r="550" spans="4:8" ht="12.75" customHeight="1" x14ac:dyDescent="0.3">
      <c r="D550" s="305"/>
      <c r="E550" s="302"/>
      <c r="F550" s="302"/>
      <c r="G550" s="302"/>
      <c r="H550" s="302"/>
    </row>
    <row r="551" spans="4:8" ht="12.75" customHeight="1" x14ac:dyDescent="0.3">
      <c r="D551" s="305"/>
      <c r="E551" s="302"/>
      <c r="F551" s="302"/>
      <c r="G551" s="302"/>
      <c r="H551" s="302"/>
    </row>
    <row r="552" spans="4:8" ht="12.75" customHeight="1" x14ac:dyDescent="0.3">
      <c r="D552" s="305"/>
      <c r="E552" s="302"/>
      <c r="F552" s="302"/>
      <c r="G552" s="302"/>
      <c r="H552" s="302"/>
    </row>
    <row r="553" spans="4:8" ht="12.75" customHeight="1" x14ac:dyDescent="0.3">
      <c r="D553" s="305"/>
      <c r="E553" s="302"/>
      <c r="F553" s="302"/>
      <c r="G553" s="302"/>
      <c r="H553" s="302"/>
    </row>
    <row r="554" spans="4:8" ht="12.75" customHeight="1" x14ac:dyDescent="0.3">
      <c r="D554" s="305"/>
      <c r="E554" s="302"/>
      <c r="F554" s="302"/>
      <c r="G554" s="302"/>
      <c r="H554" s="302"/>
    </row>
    <row r="555" spans="4:8" ht="12.75" customHeight="1" x14ac:dyDescent="0.3">
      <c r="D555" s="305"/>
      <c r="E555" s="302"/>
      <c r="F555" s="302"/>
      <c r="G555" s="302"/>
      <c r="H555" s="302"/>
    </row>
    <row r="556" spans="4:8" ht="12.75" customHeight="1" x14ac:dyDescent="0.3">
      <c r="D556" s="305"/>
      <c r="E556" s="302"/>
      <c r="F556" s="302"/>
      <c r="G556" s="302"/>
      <c r="H556" s="302"/>
    </row>
    <row r="557" spans="4:8" ht="12.75" customHeight="1" x14ac:dyDescent="0.3">
      <c r="D557" s="305"/>
      <c r="E557" s="302"/>
      <c r="F557" s="302"/>
      <c r="G557" s="302"/>
      <c r="H557" s="302"/>
    </row>
    <row r="558" spans="4:8" ht="12.75" customHeight="1" x14ac:dyDescent="0.3">
      <c r="D558" s="305"/>
      <c r="E558" s="302"/>
      <c r="F558" s="302"/>
      <c r="G558" s="302"/>
      <c r="H558" s="302"/>
    </row>
    <row r="559" spans="4:8" ht="12.75" customHeight="1" x14ac:dyDescent="0.3">
      <c r="D559" s="305"/>
      <c r="E559" s="302"/>
      <c r="F559" s="302"/>
      <c r="G559" s="302"/>
      <c r="H559" s="302"/>
    </row>
    <row r="560" spans="4:8" ht="12.75" customHeight="1" x14ac:dyDescent="0.3">
      <c r="D560" s="305"/>
      <c r="E560" s="302"/>
      <c r="F560" s="302"/>
      <c r="G560" s="302"/>
      <c r="H560" s="302"/>
    </row>
    <row r="561" spans="4:8" ht="12.75" customHeight="1" x14ac:dyDescent="0.3">
      <c r="D561" s="305"/>
      <c r="E561" s="302"/>
      <c r="F561" s="302"/>
      <c r="G561" s="302"/>
      <c r="H561" s="302"/>
    </row>
    <row r="562" spans="4:8" ht="12.75" customHeight="1" x14ac:dyDescent="0.3">
      <c r="D562" s="305"/>
      <c r="E562" s="302"/>
      <c r="F562" s="302"/>
      <c r="G562" s="302"/>
      <c r="H562" s="302"/>
    </row>
    <row r="563" spans="4:8" ht="12.75" customHeight="1" x14ac:dyDescent="0.3">
      <c r="D563" s="305"/>
      <c r="E563" s="302"/>
      <c r="F563" s="302"/>
      <c r="G563" s="302"/>
      <c r="H563" s="302"/>
    </row>
    <row r="564" spans="4:8" ht="12.75" customHeight="1" x14ac:dyDescent="0.3">
      <c r="D564" s="305"/>
      <c r="E564" s="302"/>
      <c r="F564" s="302"/>
      <c r="G564" s="302"/>
      <c r="H564" s="302"/>
    </row>
    <row r="565" spans="4:8" ht="12.75" customHeight="1" x14ac:dyDescent="0.3">
      <c r="D565" s="305"/>
      <c r="E565" s="302"/>
      <c r="F565" s="302"/>
      <c r="G565" s="302"/>
      <c r="H565" s="302"/>
    </row>
    <row r="566" spans="4:8" ht="12.75" customHeight="1" x14ac:dyDescent="0.3">
      <c r="D566" s="305"/>
      <c r="E566" s="302"/>
      <c r="F566" s="302"/>
      <c r="G566" s="302"/>
      <c r="H566" s="302"/>
    </row>
    <row r="567" spans="4:8" ht="12.75" customHeight="1" x14ac:dyDescent="0.3">
      <c r="D567" s="305"/>
      <c r="E567" s="302"/>
      <c r="F567" s="302"/>
      <c r="G567" s="302"/>
      <c r="H567" s="302"/>
    </row>
    <row r="568" spans="4:8" ht="12.75" customHeight="1" x14ac:dyDescent="0.3">
      <c r="D568" s="305"/>
      <c r="E568" s="302"/>
      <c r="F568" s="302"/>
      <c r="G568" s="302"/>
      <c r="H568" s="302"/>
    </row>
    <row r="569" spans="4:8" ht="12.75" customHeight="1" x14ac:dyDescent="0.3">
      <c r="D569" s="305"/>
      <c r="E569" s="302"/>
      <c r="F569" s="302"/>
      <c r="G569" s="302"/>
      <c r="H569" s="302"/>
    </row>
    <row r="570" spans="4:8" ht="12.75" customHeight="1" x14ac:dyDescent="0.3">
      <c r="D570" s="305"/>
      <c r="E570" s="302"/>
      <c r="F570" s="302"/>
      <c r="G570" s="302"/>
      <c r="H570" s="302"/>
    </row>
    <row r="571" spans="4:8" ht="12.75" customHeight="1" x14ac:dyDescent="0.3">
      <c r="D571" s="305"/>
      <c r="E571" s="302"/>
      <c r="F571" s="302"/>
      <c r="G571" s="302"/>
      <c r="H571" s="302"/>
    </row>
    <row r="572" spans="4:8" ht="12.75" customHeight="1" x14ac:dyDescent="0.3">
      <c r="D572" s="305"/>
      <c r="E572" s="302"/>
      <c r="F572" s="302"/>
      <c r="G572" s="302"/>
      <c r="H572" s="302"/>
    </row>
    <row r="573" spans="4:8" ht="12.75" customHeight="1" x14ac:dyDescent="0.3">
      <c r="D573" s="305"/>
      <c r="E573" s="302"/>
      <c r="F573" s="302"/>
      <c r="G573" s="302"/>
      <c r="H573" s="302"/>
    </row>
    <row r="574" spans="4:8" ht="12.75" customHeight="1" x14ac:dyDescent="0.3">
      <c r="D574" s="305"/>
      <c r="E574" s="302"/>
      <c r="F574" s="302"/>
      <c r="G574" s="302"/>
      <c r="H574" s="302"/>
    </row>
    <row r="575" spans="4:8" ht="12.75" customHeight="1" x14ac:dyDescent="0.3">
      <c r="D575" s="305"/>
      <c r="E575" s="302"/>
      <c r="F575" s="302"/>
      <c r="G575" s="302"/>
      <c r="H575" s="302"/>
    </row>
    <row r="576" spans="4:8" ht="12.75" customHeight="1" x14ac:dyDescent="0.3">
      <c r="D576" s="305"/>
      <c r="E576" s="302"/>
      <c r="F576" s="302"/>
      <c r="G576" s="302"/>
      <c r="H576" s="302"/>
    </row>
    <row r="577" spans="4:8" ht="12.75" customHeight="1" x14ac:dyDescent="0.3">
      <c r="D577" s="305"/>
      <c r="E577" s="302"/>
      <c r="F577" s="302"/>
      <c r="G577" s="302"/>
      <c r="H577" s="302"/>
    </row>
    <row r="578" spans="4:8" ht="12.75" customHeight="1" x14ac:dyDescent="0.3">
      <c r="D578" s="305"/>
      <c r="E578" s="302"/>
      <c r="F578" s="302"/>
      <c r="G578" s="302"/>
      <c r="H578" s="302"/>
    </row>
    <row r="579" spans="4:8" ht="12.75" customHeight="1" x14ac:dyDescent="0.3">
      <c r="D579" s="305"/>
      <c r="E579" s="302"/>
      <c r="F579" s="302"/>
      <c r="G579" s="302"/>
      <c r="H579" s="302"/>
    </row>
    <row r="580" spans="4:8" ht="12.75" customHeight="1" x14ac:dyDescent="0.3">
      <c r="D580" s="305"/>
      <c r="E580" s="302"/>
      <c r="F580" s="302"/>
      <c r="G580" s="302"/>
      <c r="H580" s="302"/>
    </row>
    <row r="581" spans="4:8" ht="12.75" customHeight="1" x14ac:dyDescent="0.3">
      <c r="D581" s="305"/>
      <c r="E581" s="302"/>
      <c r="F581" s="302"/>
      <c r="G581" s="302"/>
      <c r="H581" s="302"/>
    </row>
    <row r="582" spans="4:8" ht="12.75" customHeight="1" x14ac:dyDescent="0.3">
      <c r="D582" s="305"/>
      <c r="E582" s="302"/>
      <c r="F582" s="302"/>
      <c r="G582" s="302"/>
      <c r="H582" s="302"/>
    </row>
    <row r="583" spans="4:8" ht="12.75" customHeight="1" x14ac:dyDescent="0.3">
      <c r="D583" s="305"/>
      <c r="E583" s="302"/>
      <c r="F583" s="302"/>
      <c r="G583" s="302"/>
      <c r="H583" s="302"/>
    </row>
    <row r="584" spans="4:8" ht="12.75" customHeight="1" x14ac:dyDescent="0.3">
      <c r="D584" s="305"/>
      <c r="E584" s="302"/>
      <c r="F584" s="302"/>
      <c r="G584" s="302"/>
      <c r="H584" s="302"/>
    </row>
    <row r="585" spans="4:8" ht="12.75" customHeight="1" x14ac:dyDescent="0.3">
      <c r="D585" s="305"/>
      <c r="E585" s="302"/>
      <c r="F585" s="302"/>
      <c r="G585" s="302"/>
      <c r="H585" s="302"/>
    </row>
    <row r="586" spans="4:8" ht="12.75" customHeight="1" x14ac:dyDescent="0.3">
      <c r="D586" s="305"/>
      <c r="E586" s="302"/>
      <c r="F586" s="302"/>
      <c r="G586" s="302"/>
      <c r="H586" s="302"/>
    </row>
    <row r="587" spans="4:8" ht="12.75" customHeight="1" x14ac:dyDescent="0.3">
      <c r="D587" s="305"/>
      <c r="E587" s="302"/>
      <c r="F587" s="302"/>
      <c r="G587" s="302"/>
      <c r="H587" s="302"/>
    </row>
    <row r="588" spans="4:8" ht="12.75" customHeight="1" x14ac:dyDescent="0.3">
      <c r="D588" s="305"/>
      <c r="E588" s="302"/>
      <c r="F588" s="302"/>
      <c r="G588" s="302"/>
      <c r="H588" s="302"/>
    </row>
    <row r="589" spans="4:8" ht="12.75" customHeight="1" x14ac:dyDescent="0.3">
      <c r="D589" s="305"/>
      <c r="E589" s="302"/>
      <c r="F589" s="302"/>
      <c r="G589" s="302"/>
      <c r="H589" s="302"/>
    </row>
    <row r="590" spans="4:8" ht="12.75" customHeight="1" x14ac:dyDescent="0.3">
      <c r="D590" s="305"/>
      <c r="E590" s="302"/>
      <c r="F590" s="302"/>
      <c r="G590" s="302"/>
      <c r="H590" s="302"/>
    </row>
    <row r="591" spans="4:8" ht="12.75" customHeight="1" x14ac:dyDescent="0.3">
      <c r="D591" s="305"/>
      <c r="E591" s="302"/>
      <c r="F591" s="302"/>
      <c r="G591" s="302"/>
      <c r="H591" s="302"/>
    </row>
    <row r="592" spans="4:8" ht="12.75" customHeight="1" x14ac:dyDescent="0.3">
      <c r="D592" s="305"/>
      <c r="E592" s="302"/>
      <c r="F592" s="302"/>
      <c r="G592" s="302"/>
      <c r="H592" s="302"/>
    </row>
    <row r="593" spans="4:8" ht="12.75" customHeight="1" x14ac:dyDescent="0.3">
      <c r="D593" s="305"/>
      <c r="E593" s="302"/>
      <c r="F593" s="302"/>
      <c r="G593" s="302"/>
      <c r="H593" s="302"/>
    </row>
    <row r="594" spans="4:8" ht="12.75" customHeight="1" x14ac:dyDescent="0.3">
      <c r="D594" s="305"/>
      <c r="E594" s="302"/>
      <c r="F594" s="302"/>
      <c r="G594" s="302"/>
      <c r="H594" s="302"/>
    </row>
    <row r="595" spans="4:8" ht="12.75" customHeight="1" x14ac:dyDescent="0.3">
      <c r="D595" s="305"/>
      <c r="E595" s="302"/>
      <c r="F595" s="302"/>
      <c r="G595" s="302"/>
      <c r="H595" s="302"/>
    </row>
    <row r="596" spans="4:8" ht="12.75" customHeight="1" x14ac:dyDescent="0.3">
      <c r="D596" s="305"/>
      <c r="E596" s="302"/>
      <c r="F596" s="302"/>
      <c r="G596" s="302"/>
      <c r="H596" s="302"/>
    </row>
    <row r="597" spans="4:8" ht="12.75" customHeight="1" x14ac:dyDescent="0.3">
      <c r="D597" s="305"/>
      <c r="E597" s="302"/>
      <c r="F597" s="302"/>
      <c r="G597" s="302"/>
      <c r="H597" s="302"/>
    </row>
    <row r="598" spans="4:8" ht="12.75" customHeight="1" x14ac:dyDescent="0.3">
      <c r="D598" s="305"/>
      <c r="E598" s="302"/>
      <c r="F598" s="302"/>
      <c r="G598" s="302"/>
      <c r="H598" s="302"/>
    </row>
    <row r="599" spans="4:8" ht="12.75" customHeight="1" x14ac:dyDescent="0.3">
      <c r="D599" s="305"/>
      <c r="E599" s="302"/>
      <c r="F599" s="302"/>
      <c r="G599" s="302"/>
      <c r="H599" s="302"/>
    </row>
    <row r="600" spans="4:8" ht="12.75" customHeight="1" x14ac:dyDescent="0.3">
      <c r="D600" s="305"/>
      <c r="E600" s="302"/>
      <c r="F600" s="302"/>
      <c r="G600" s="302"/>
      <c r="H600" s="302"/>
    </row>
    <row r="601" spans="4:8" ht="12.75" customHeight="1" x14ac:dyDescent="0.3">
      <c r="D601" s="305"/>
      <c r="E601" s="302"/>
      <c r="F601" s="302"/>
      <c r="G601" s="302"/>
      <c r="H601" s="302"/>
    </row>
    <row r="602" spans="4:8" ht="12.75" customHeight="1" x14ac:dyDescent="0.3">
      <c r="D602" s="305"/>
      <c r="E602" s="302"/>
      <c r="F602" s="302"/>
      <c r="G602" s="302"/>
      <c r="H602" s="302"/>
    </row>
    <row r="603" spans="4:8" ht="12.75" customHeight="1" x14ac:dyDescent="0.3">
      <c r="D603" s="305"/>
      <c r="E603" s="302"/>
      <c r="F603" s="302"/>
      <c r="G603" s="302"/>
      <c r="H603" s="302"/>
    </row>
    <row r="604" spans="4:8" ht="12.75" customHeight="1" x14ac:dyDescent="0.3">
      <c r="D604" s="305"/>
      <c r="E604" s="302"/>
      <c r="F604" s="302"/>
      <c r="G604" s="302"/>
      <c r="H604" s="302"/>
    </row>
    <row r="605" spans="4:8" ht="12.75" customHeight="1" x14ac:dyDescent="0.3">
      <c r="D605" s="305"/>
      <c r="E605" s="302"/>
      <c r="F605" s="302"/>
      <c r="G605" s="302"/>
      <c r="H605" s="302"/>
    </row>
    <row r="606" spans="4:8" ht="12.75" customHeight="1" x14ac:dyDescent="0.3">
      <c r="D606" s="305"/>
      <c r="E606" s="302"/>
      <c r="F606" s="302"/>
      <c r="G606" s="302"/>
      <c r="H606" s="302"/>
    </row>
    <row r="607" spans="4:8" ht="12.75" customHeight="1" x14ac:dyDescent="0.3">
      <c r="D607" s="305"/>
      <c r="E607" s="302"/>
      <c r="F607" s="302"/>
      <c r="G607" s="302"/>
      <c r="H607" s="302"/>
    </row>
    <row r="608" spans="4:8" ht="12.75" customHeight="1" x14ac:dyDescent="0.3">
      <c r="D608" s="305"/>
      <c r="E608" s="302"/>
      <c r="F608" s="302"/>
      <c r="G608" s="302"/>
      <c r="H608" s="302"/>
    </row>
    <row r="609" spans="4:8" ht="12.75" customHeight="1" x14ac:dyDescent="0.3">
      <c r="D609" s="305"/>
      <c r="E609" s="302"/>
      <c r="F609" s="302"/>
      <c r="G609" s="302"/>
      <c r="H609" s="302"/>
    </row>
    <row r="610" spans="4:8" ht="12.75" customHeight="1" x14ac:dyDescent="0.3">
      <c r="D610" s="305"/>
      <c r="E610" s="302"/>
      <c r="F610" s="302"/>
      <c r="G610" s="302"/>
      <c r="H610" s="302"/>
    </row>
    <row r="611" spans="4:8" ht="12.75" customHeight="1" x14ac:dyDescent="0.3">
      <c r="D611" s="305"/>
      <c r="E611" s="302"/>
      <c r="F611" s="302"/>
      <c r="G611" s="302"/>
      <c r="H611" s="302"/>
    </row>
    <row r="612" spans="4:8" ht="12.75" customHeight="1" x14ac:dyDescent="0.3">
      <c r="D612" s="305"/>
      <c r="E612" s="302"/>
      <c r="F612" s="302"/>
      <c r="G612" s="302"/>
      <c r="H612" s="302"/>
    </row>
    <row r="613" spans="4:8" ht="12.75" customHeight="1" x14ac:dyDescent="0.3">
      <c r="D613" s="305"/>
      <c r="E613" s="302"/>
      <c r="F613" s="302"/>
      <c r="G613" s="302"/>
      <c r="H613" s="302"/>
    </row>
    <row r="614" spans="4:8" ht="12.75" customHeight="1" x14ac:dyDescent="0.3">
      <c r="D614" s="305"/>
      <c r="E614" s="302"/>
      <c r="F614" s="302"/>
      <c r="G614" s="302"/>
      <c r="H614" s="302"/>
    </row>
    <row r="615" spans="4:8" ht="12.75" customHeight="1" x14ac:dyDescent="0.3">
      <c r="D615" s="305"/>
      <c r="E615" s="302"/>
      <c r="F615" s="302"/>
      <c r="G615" s="302"/>
      <c r="H615" s="302"/>
    </row>
    <row r="616" spans="4:8" ht="12.75" customHeight="1" x14ac:dyDescent="0.3">
      <c r="D616" s="305"/>
      <c r="E616" s="302"/>
      <c r="F616" s="302"/>
      <c r="G616" s="302"/>
      <c r="H616" s="302"/>
    </row>
    <row r="617" spans="4:8" ht="12.75" customHeight="1" x14ac:dyDescent="0.3">
      <c r="D617" s="305"/>
      <c r="E617" s="302"/>
      <c r="F617" s="302"/>
      <c r="G617" s="302"/>
      <c r="H617" s="302"/>
    </row>
    <row r="618" spans="4:8" ht="12.75" customHeight="1" x14ac:dyDescent="0.3">
      <c r="D618" s="305"/>
      <c r="E618" s="302"/>
      <c r="F618" s="302"/>
      <c r="G618" s="302"/>
      <c r="H618" s="302"/>
    </row>
    <row r="619" spans="4:8" ht="12.75" customHeight="1" x14ac:dyDescent="0.3">
      <c r="D619" s="305"/>
      <c r="E619" s="302"/>
      <c r="F619" s="302"/>
      <c r="G619" s="302"/>
      <c r="H619" s="302"/>
    </row>
    <row r="620" spans="4:8" ht="12.75" customHeight="1" x14ac:dyDescent="0.3">
      <c r="D620" s="305"/>
      <c r="E620" s="302"/>
      <c r="F620" s="302"/>
      <c r="G620" s="302"/>
      <c r="H620" s="302"/>
    </row>
    <row r="621" spans="4:8" ht="12.75" customHeight="1" x14ac:dyDescent="0.3">
      <c r="D621" s="305"/>
      <c r="E621" s="302"/>
      <c r="F621" s="302"/>
      <c r="G621" s="302"/>
      <c r="H621" s="302"/>
    </row>
    <row r="622" spans="4:8" ht="12.75" customHeight="1" x14ac:dyDescent="0.3">
      <c r="D622" s="305"/>
      <c r="E622" s="302"/>
      <c r="F622" s="302"/>
      <c r="G622" s="302"/>
      <c r="H622" s="302"/>
    </row>
    <row r="623" spans="4:8" ht="12.75" customHeight="1" x14ac:dyDescent="0.3">
      <c r="D623" s="305"/>
      <c r="E623" s="302"/>
      <c r="F623" s="302"/>
      <c r="G623" s="302"/>
      <c r="H623" s="302"/>
    </row>
    <row r="624" spans="4:8" ht="12.75" customHeight="1" x14ac:dyDescent="0.3">
      <c r="D624" s="305"/>
      <c r="E624" s="302"/>
      <c r="F624" s="302"/>
      <c r="G624" s="302"/>
      <c r="H624" s="302"/>
    </row>
    <row r="625" spans="4:8" ht="12.75" customHeight="1" x14ac:dyDescent="0.3">
      <c r="D625" s="305"/>
      <c r="E625" s="302"/>
      <c r="F625" s="302"/>
      <c r="G625" s="302"/>
      <c r="H625" s="302"/>
    </row>
    <row r="626" spans="4:8" ht="12.75" customHeight="1" x14ac:dyDescent="0.3">
      <c r="D626" s="305"/>
      <c r="E626" s="302"/>
      <c r="F626" s="302"/>
      <c r="G626" s="302"/>
      <c r="H626" s="302"/>
    </row>
    <row r="627" spans="4:8" ht="12.75" customHeight="1" x14ac:dyDescent="0.3">
      <c r="D627" s="305"/>
      <c r="E627" s="302"/>
      <c r="F627" s="302"/>
      <c r="G627" s="302"/>
      <c r="H627" s="302"/>
    </row>
    <row r="628" spans="4:8" ht="12.75" customHeight="1" x14ac:dyDescent="0.3">
      <c r="D628" s="305"/>
      <c r="E628" s="302"/>
      <c r="F628" s="302"/>
      <c r="G628" s="302"/>
      <c r="H628" s="302"/>
    </row>
    <row r="629" spans="4:8" ht="12.75" customHeight="1" x14ac:dyDescent="0.3">
      <c r="D629" s="305"/>
      <c r="E629" s="302"/>
      <c r="F629" s="302"/>
      <c r="G629" s="302"/>
      <c r="H629" s="302"/>
    </row>
    <row r="630" spans="4:8" ht="12.75" customHeight="1" x14ac:dyDescent="0.3">
      <c r="D630" s="305"/>
      <c r="E630" s="302"/>
      <c r="F630" s="302"/>
      <c r="G630" s="302"/>
      <c r="H630" s="302"/>
    </row>
    <row r="631" spans="4:8" ht="12.75" customHeight="1" x14ac:dyDescent="0.3">
      <c r="D631" s="305"/>
      <c r="E631" s="302"/>
      <c r="F631" s="302"/>
      <c r="G631" s="302"/>
      <c r="H631" s="302"/>
    </row>
    <row r="632" spans="4:8" ht="12.75" customHeight="1" x14ac:dyDescent="0.3">
      <c r="D632" s="305"/>
      <c r="E632" s="302"/>
      <c r="F632" s="302"/>
      <c r="G632" s="302"/>
      <c r="H632" s="302"/>
    </row>
    <row r="633" spans="4:8" ht="12.75" customHeight="1" x14ac:dyDescent="0.3">
      <c r="D633" s="305"/>
      <c r="E633" s="302"/>
      <c r="F633" s="302"/>
      <c r="G633" s="302"/>
      <c r="H633" s="302"/>
    </row>
    <row r="634" spans="4:8" ht="12.75" customHeight="1" x14ac:dyDescent="0.3">
      <c r="D634" s="305"/>
      <c r="E634" s="302"/>
      <c r="F634" s="302"/>
      <c r="G634" s="302"/>
      <c r="H634" s="302"/>
    </row>
    <row r="635" spans="4:8" ht="12.75" customHeight="1" x14ac:dyDescent="0.3">
      <c r="D635" s="305"/>
      <c r="E635" s="302"/>
      <c r="F635" s="302"/>
      <c r="G635" s="302"/>
      <c r="H635" s="302"/>
    </row>
    <row r="636" spans="4:8" ht="12.75" customHeight="1" x14ac:dyDescent="0.3">
      <c r="D636" s="305"/>
      <c r="E636" s="302"/>
      <c r="F636" s="302"/>
      <c r="G636" s="302"/>
      <c r="H636" s="302"/>
    </row>
    <row r="637" spans="4:8" ht="12.75" customHeight="1" x14ac:dyDescent="0.3">
      <c r="D637" s="305"/>
      <c r="E637" s="302"/>
      <c r="F637" s="302"/>
      <c r="G637" s="302"/>
      <c r="H637" s="302"/>
    </row>
    <row r="638" spans="4:8" ht="12.75" customHeight="1" x14ac:dyDescent="0.3">
      <c r="D638" s="305"/>
      <c r="E638" s="302"/>
      <c r="F638" s="302"/>
      <c r="G638" s="302"/>
      <c r="H638" s="302"/>
    </row>
    <row r="639" spans="4:8" ht="12.75" customHeight="1" x14ac:dyDescent="0.3">
      <c r="D639" s="305"/>
      <c r="E639" s="302"/>
      <c r="F639" s="302"/>
      <c r="G639" s="302"/>
      <c r="H639" s="302"/>
    </row>
    <row r="640" spans="4:8" ht="12.75" customHeight="1" x14ac:dyDescent="0.3">
      <c r="D640" s="305"/>
      <c r="E640" s="302"/>
      <c r="F640" s="302"/>
      <c r="G640" s="302"/>
      <c r="H640" s="302"/>
    </row>
    <row r="641" spans="4:8" ht="12.75" customHeight="1" x14ac:dyDescent="0.3">
      <c r="D641" s="305"/>
      <c r="E641" s="302"/>
      <c r="F641" s="302"/>
      <c r="G641" s="302"/>
      <c r="H641" s="302"/>
    </row>
    <row r="642" spans="4:8" ht="12.75" customHeight="1" x14ac:dyDescent="0.3">
      <c r="D642" s="305"/>
      <c r="E642" s="302"/>
      <c r="F642" s="302"/>
      <c r="G642" s="302"/>
      <c r="H642" s="302"/>
    </row>
    <row r="643" spans="4:8" ht="12.75" customHeight="1" x14ac:dyDescent="0.3">
      <c r="D643" s="305"/>
      <c r="E643" s="302"/>
      <c r="F643" s="302"/>
      <c r="G643" s="302"/>
      <c r="H643" s="302"/>
    </row>
    <row r="644" spans="4:8" ht="12.75" customHeight="1" x14ac:dyDescent="0.3">
      <c r="D644" s="305"/>
      <c r="E644" s="302"/>
      <c r="F644" s="302"/>
      <c r="G644" s="302"/>
      <c r="H644" s="302"/>
    </row>
    <row r="645" spans="4:8" ht="12.75" customHeight="1" x14ac:dyDescent="0.3">
      <c r="D645" s="305"/>
      <c r="E645" s="302"/>
      <c r="F645" s="302"/>
      <c r="G645" s="302"/>
      <c r="H645" s="302"/>
    </row>
    <row r="646" spans="4:8" ht="12.75" customHeight="1" x14ac:dyDescent="0.3">
      <c r="D646" s="305"/>
      <c r="E646" s="302"/>
      <c r="F646" s="302"/>
      <c r="G646" s="302"/>
      <c r="H646" s="302"/>
    </row>
    <row r="647" spans="4:8" ht="12.75" customHeight="1" x14ac:dyDescent="0.3">
      <c r="D647" s="305"/>
      <c r="E647" s="302"/>
      <c r="F647" s="302"/>
      <c r="G647" s="302"/>
      <c r="H647" s="302"/>
    </row>
    <row r="648" spans="4:8" ht="12.75" customHeight="1" x14ac:dyDescent="0.3">
      <c r="D648" s="305"/>
      <c r="E648" s="302"/>
      <c r="F648" s="302"/>
      <c r="G648" s="302"/>
      <c r="H648" s="302"/>
    </row>
    <row r="649" spans="4:8" ht="12.75" customHeight="1" x14ac:dyDescent="0.3">
      <c r="D649" s="305"/>
      <c r="E649" s="302"/>
      <c r="F649" s="302"/>
      <c r="G649" s="302"/>
      <c r="H649" s="302"/>
    </row>
    <row r="650" spans="4:8" ht="12.75" customHeight="1" x14ac:dyDescent="0.3">
      <c r="D650" s="305"/>
      <c r="E650" s="302"/>
      <c r="F650" s="302"/>
      <c r="G650" s="302"/>
      <c r="H650" s="302"/>
    </row>
    <row r="651" spans="4:8" ht="12.75" customHeight="1" x14ac:dyDescent="0.3">
      <c r="D651" s="305"/>
      <c r="E651" s="302"/>
      <c r="F651" s="302"/>
      <c r="G651" s="302"/>
      <c r="H651" s="302"/>
    </row>
    <row r="652" spans="4:8" ht="12.75" customHeight="1" x14ac:dyDescent="0.3">
      <c r="D652" s="305"/>
      <c r="E652" s="302"/>
      <c r="F652" s="302"/>
      <c r="G652" s="302"/>
      <c r="H652" s="302"/>
    </row>
    <row r="653" spans="4:8" ht="12.75" customHeight="1" x14ac:dyDescent="0.3">
      <c r="D653" s="305"/>
      <c r="E653" s="302"/>
      <c r="F653" s="302"/>
      <c r="G653" s="302"/>
      <c r="H653" s="302"/>
    </row>
    <row r="654" spans="4:8" ht="12.75" customHeight="1" x14ac:dyDescent="0.3">
      <c r="D654" s="305"/>
      <c r="E654" s="302"/>
      <c r="F654" s="302"/>
      <c r="G654" s="302"/>
      <c r="H654" s="302"/>
    </row>
    <row r="655" spans="4:8" ht="12.75" customHeight="1" x14ac:dyDescent="0.3">
      <c r="D655" s="305"/>
      <c r="E655" s="302"/>
      <c r="F655" s="302"/>
      <c r="G655" s="302"/>
      <c r="H655" s="302"/>
    </row>
    <row r="656" spans="4:8" ht="12.75" customHeight="1" x14ac:dyDescent="0.3">
      <c r="D656" s="305"/>
      <c r="E656" s="302"/>
      <c r="F656" s="302"/>
      <c r="G656" s="302"/>
      <c r="H656" s="302"/>
    </row>
    <row r="657" spans="4:8" ht="12.75" customHeight="1" x14ac:dyDescent="0.3">
      <c r="D657" s="305"/>
      <c r="E657" s="302"/>
      <c r="F657" s="302"/>
      <c r="G657" s="302"/>
      <c r="H657" s="302"/>
    </row>
    <row r="658" spans="4:8" ht="12.75" customHeight="1" x14ac:dyDescent="0.3">
      <c r="D658" s="305"/>
      <c r="E658" s="302"/>
      <c r="F658" s="302"/>
      <c r="G658" s="302"/>
      <c r="H658" s="302"/>
    </row>
    <row r="659" spans="4:8" ht="12.75" customHeight="1" x14ac:dyDescent="0.3">
      <c r="D659" s="305"/>
      <c r="E659" s="302"/>
      <c r="F659" s="302"/>
      <c r="G659" s="302"/>
      <c r="H659" s="302"/>
    </row>
    <row r="660" spans="4:8" ht="12.75" customHeight="1" x14ac:dyDescent="0.3">
      <c r="D660" s="305"/>
      <c r="E660" s="302"/>
      <c r="F660" s="302"/>
      <c r="G660" s="302"/>
      <c r="H660" s="302"/>
    </row>
    <row r="661" spans="4:8" ht="12.75" customHeight="1" x14ac:dyDescent="0.3">
      <c r="D661" s="305"/>
      <c r="E661" s="302"/>
      <c r="F661" s="302"/>
      <c r="G661" s="302"/>
      <c r="H661" s="302"/>
    </row>
    <row r="662" spans="4:8" ht="12.75" customHeight="1" x14ac:dyDescent="0.3">
      <c r="D662" s="305"/>
      <c r="E662" s="302"/>
      <c r="F662" s="302"/>
      <c r="G662" s="302"/>
      <c r="H662" s="302"/>
    </row>
    <row r="663" spans="4:8" ht="12.75" customHeight="1" x14ac:dyDescent="0.3">
      <c r="D663" s="305"/>
      <c r="E663" s="302"/>
      <c r="F663" s="302"/>
      <c r="G663" s="302"/>
      <c r="H663" s="302"/>
    </row>
    <row r="664" spans="4:8" ht="12.75" customHeight="1" x14ac:dyDescent="0.3">
      <c r="D664" s="305"/>
      <c r="E664" s="302"/>
      <c r="F664" s="302"/>
      <c r="G664" s="302"/>
      <c r="H664" s="302"/>
    </row>
    <row r="665" spans="4:8" ht="12.75" customHeight="1" x14ac:dyDescent="0.3">
      <c r="D665" s="305"/>
      <c r="E665" s="302"/>
      <c r="F665" s="302"/>
      <c r="G665" s="302"/>
      <c r="H665" s="302"/>
    </row>
    <row r="666" spans="4:8" ht="12.75" customHeight="1" x14ac:dyDescent="0.3">
      <c r="D666" s="305"/>
      <c r="E666" s="302"/>
      <c r="F666" s="302"/>
      <c r="G666" s="302"/>
      <c r="H666" s="302"/>
    </row>
    <row r="667" spans="4:8" ht="12.75" customHeight="1" x14ac:dyDescent="0.3">
      <c r="D667" s="305"/>
      <c r="E667" s="302"/>
      <c r="F667" s="302"/>
      <c r="G667" s="302"/>
      <c r="H667" s="302"/>
    </row>
    <row r="668" spans="4:8" ht="12.75" customHeight="1" x14ac:dyDescent="0.3">
      <c r="D668" s="305"/>
      <c r="E668" s="302"/>
      <c r="F668" s="302"/>
      <c r="G668" s="302"/>
      <c r="H668" s="302"/>
    </row>
    <row r="669" spans="4:8" ht="12.75" customHeight="1" x14ac:dyDescent="0.3">
      <c r="D669" s="305"/>
      <c r="E669" s="302"/>
      <c r="F669" s="302"/>
      <c r="G669" s="302"/>
      <c r="H669" s="302"/>
    </row>
    <row r="670" spans="4:8" ht="12.75" customHeight="1" x14ac:dyDescent="0.3">
      <c r="D670" s="305"/>
      <c r="E670" s="302"/>
      <c r="F670" s="302"/>
      <c r="G670" s="302"/>
      <c r="H670" s="302"/>
    </row>
    <row r="671" spans="4:8" ht="12.75" customHeight="1" x14ac:dyDescent="0.3">
      <c r="D671" s="305"/>
      <c r="E671" s="302"/>
      <c r="F671" s="302"/>
      <c r="G671" s="302"/>
      <c r="H671" s="302"/>
    </row>
    <row r="672" spans="4:8" ht="12.75" customHeight="1" x14ac:dyDescent="0.3">
      <c r="D672" s="305"/>
      <c r="E672" s="302"/>
      <c r="F672" s="302"/>
      <c r="G672" s="302"/>
      <c r="H672" s="302"/>
    </row>
    <row r="673" spans="4:8" ht="12.75" customHeight="1" x14ac:dyDescent="0.3">
      <c r="D673" s="305"/>
      <c r="E673" s="302"/>
      <c r="F673" s="302"/>
      <c r="G673" s="302"/>
      <c r="H673" s="302"/>
    </row>
    <row r="674" spans="4:8" ht="12.75" customHeight="1" x14ac:dyDescent="0.3">
      <c r="D674" s="305"/>
      <c r="E674" s="302"/>
      <c r="F674" s="302"/>
      <c r="G674" s="302"/>
      <c r="H674" s="302"/>
    </row>
    <row r="675" spans="4:8" ht="12.75" customHeight="1" x14ac:dyDescent="0.3">
      <c r="D675" s="305"/>
      <c r="E675" s="302"/>
      <c r="F675" s="302"/>
      <c r="G675" s="302"/>
      <c r="H675" s="302"/>
    </row>
    <row r="676" spans="4:8" ht="12.75" customHeight="1" x14ac:dyDescent="0.3">
      <c r="D676" s="305"/>
      <c r="E676" s="302"/>
      <c r="F676" s="302"/>
      <c r="G676" s="302"/>
      <c r="H676" s="302"/>
    </row>
    <row r="677" spans="4:8" ht="12.75" customHeight="1" x14ac:dyDescent="0.3">
      <c r="D677" s="305"/>
      <c r="E677" s="302"/>
      <c r="F677" s="302"/>
      <c r="G677" s="302"/>
      <c r="H677" s="302"/>
    </row>
    <row r="678" spans="4:8" ht="12.75" customHeight="1" x14ac:dyDescent="0.3">
      <c r="D678" s="305"/>
      <c r="E678" s="302"/>
      <c r="F678" s="302"/>
      <c r="G678" s="302"/>
      <c r="H678" s="302"/>
    </row>
    <row r="679" spans="4:8" ht="12.75" customHeight="1" x14ac:dyDescent="0.3">
      <c r="D679" s="305"/>
      <c r="E679" s="302"/>
      <c r="F679" s="302"/>
      <c r="G679" s="302"/>
      <c r="H679" s="302"/>
    </row>
    <row r="680" spans="4:8" ht="12.75" customHeight="1" x14ac:dyDescent="0.3">
      <c r="D680" s="305"/>
      <c r="E680" s="302"/>
      <c r="F680" s="302"/>
      <c r="G680" s="302"/>
      <c r="H680" s="302"/>
    </row>
    <row r="681" spans="4:8" ht="12.75" customHeight="1" x14ac:dyDescent="0.3">
      <c r="D681" s="305"/>
      <c r="E681" s="302"/>
      <c r="F681" s="302"/>
      <c r="G681" s="302"/>
      <c r="H681" s="302"/>
    </row>
    <row r="682" spans="4:8" ht="12.75" customHeight="1" x14ac:dyDescent="0.3">
      <c r="D682" s="305"/>
      <c r="E682" s="302"/>
      <c r="F682" s="302"/>
      <c r="G682" s="302"/>
      <c r="H682" s="302"/>
    </row>
    <row r="683" spans="4:8" ht="12.75" customHeight="1" x14ac:dyDescent="0.3">
      <c r="D683" s="305"/>
      <c r="E683" s="302"/>
      <c r="F683" s="302"/>
      <c r="G683" s="302"/>
      <c r="H683" s="302"/>
    </row>
    <row r="684" spans="4:8" ht="12.75" customHeight="1" x14ac:dyDescent="0.3">
      <c r="D684" s="305"/>
      <c r="E684" s="302"/>
      <c r="F684" s="302"/>
      <c r="G684" s="302"/>
      <c r="H684" s="302"/>
    </row>
    <row r="685" spans="4:8" ht="12.75" customHeight="1" x14ac:dyDescent="0.3">
      <c r="D685" s="305"/>
      <c r="E685" s="302"/>
      <c r="F685" s="302"/>
      <c r="G685" s="302"/>
      <c r="H685" s="302"/>
    </row>
    <row r="686" spans="4:8" ht="12.75" customHeight="1" x14ac:dyDescent="0.3">
      <c r="D686" s="305"/>
      <c r="E686" s="302"/>
      <c r="F686" s="302"/>
      <c r="G686" s="302"/>
      <c r="H686" s="302"/>
    </row>
    <row r="687" spans="4:8" ht="12.75" customHeight="1" x14ac:dyDescent="0.3">
      <c r="D687" s="305"/>
      <c r="E687" s="302"/>
      <c r="F687" s="302"/>
      <c r="G687" s="302"/>
      <c r="H687" s="302"/>
    </row>
    <row r="688" spans="4:8" ht="12.75" customHeight="1" x14ac:dyDescent="0.3">
      <c r="D688" s="305"/>
      <c r="E688" s="302"/>
      <c r="F688" s="302"/>
      <c r="G688" s="302"/>
      <c r="H688" s="302"/>
    </row>
    <row r="689" spans="4:8" ht="12.75" customHeight="1" x14ac:dyDescent="0.3">
      <c r="D689" s="305"/>
      <c r="E689" s="302"/>
      <c r="F689" s="302"/>
      <c r="G689" s="302"/>
      <c r="H689" s="302"/>
    </row>
    <row r="690" spans="4:8" ht="12.75" customHeight="1" x14ac:dyDescent="0.3">
      <c r="D690" s="305"/>
      <c r="E690" s="302"/>
      <c r="F690" s="302"/>
      <c r="G690" s="302"/>
      <c r="H690" s="302"/>
    </row>
    <row r="691" spans="4:8" ht="12.75" customHeight="1" x14ac:dyDescent="0.3">
      <c r="D691" s="305"/>
      <c r="E691" s="302"/>
      <c r="F691" s="302"/>
      <c r="G691" s="302"/>
      <c r="H691" s="302"/>
    </row>
    <row r="692" spans="4:8" ht="12.75" customHeight="1" x14ac:dyDescent="0.3">
      <c r="D692" s="305"/>
      <c r="E692" s="302"/>
      <c r="F692" s="302"/>
      <c r="G692" s="302"/>
      <c r="H692" s="302"/>
    </row>
    <row r="693" spans="4:8" ht="12.75" customHeight="1" x14ac:dyDescent="0.3">
      <c r="D693" s="305"/>
      <c r="E693" s="302"/>
      <c r="F693" s="302"/>
      <c r="G693" s="302"/>
      <c r="H693" s="302"/>
    </row>
    <row r="694" spans="4:8" ht="12.75" customHeight="1" x14ac:dyDescent="0.3">
      <c r="D694" s="305"/>
      <c r="E694" s="302"/>
      <c r="F694" s="302"/>
      <c r="G694" s="302"/>
      <c r="H694" s="302"/>
    </row>
    <row r="695" spans="4:8" ht="12.75" customHeight="1" x14ac:dyDescent="0.3">
      <c r="D695" s="305"/>
      <c r="E695" s="302"/>
      <c r="F695" s="302"/>
      <c r="G695" s="302"/>
      <c r="H695" s="302"/>
    </row>
    <row r="696" spans="4:8" ht="12.75" customHeight="1" x14ac:dyDescent="0.3">
      <c r="D696" s="305"/>
      <c r="E696" s="302"/>
      <c r="F696" s="302"/>
      <c r="G696" s="302"/>
      <c r="H696" s="302"/>
    </row>
    <row r="697" spans="4:8" ht="12.75" customHeight="1" x14ac:dyDescent="0.3">
      <c r="D697" s="305"/>
      <c r="E697" s="302"/>
      <c r="F697" s="302"/>
      <c r="G697" s="302"/>
      <c r="H697" s="302"/>
    </row>
    <row r="698" spans="4:8" ht="12.75" customHeight="1" x14ac:dyDescent="0.3">
      <c r="D698" s="305"/>
      <c r="E698" s="302"/>
      <c r="F698" s="302"/>
      <c r="G698" s="302"/>
      <c r="H698" s="302"/>
    </row>
    <row r="699" spans="4:8" ht="12.75" customHeight="1" x14ac:dyDescent="0.3">
      <c r="D699" s="305"/>
      <c r="E699" s="302"/>
      <c r="F699" s="302"/>
      <c r="G699" s="302"/>
      <c r="H699" s="302"/>
    </row>
    <row r="700" spans="4:8" ht="12.75" customHeight="1" x14ac:dyDescent="0.3">
      <c r="D700" s="305"/>
      <c r="E700" s="302"/>
      <c r="F700" s="302"/>
      <c r="G700" s="302"/>
      <c r="H700" s="302"/>
    </row>
    <row r="701" spans="4:8" ht="12.75" customHeight="1" x14ac:dyDescent="0.3">
      <c r="D701" s="305"/>
      <c r="E701" s="302"/>
      <c r="F701" s="302"/>
      <c r="G701" s="302"/>
      <c r="H701" s="302"/>
    </row>
    <row r="702" spans="4:8" ht="12.75" customHeight="1" x14ac:dyDescent="0.3">
      <c r="D702" s="305"/>
      <c r="E702" s="302"/>
      <c r="F702" s="302"/>
      <c r="G702" s="302"/>
      <c r="H702" s="302"/>
    </row>
    <row r="703" spans="4:8" ht="12.75" customHeight="1" x14ac:dyDescent="0.3">
      <c r="D703" s="305"/>
      <c r="E703" s="302"/>
      <c r="F703" s="302"/>
      <c r="G703" s="302"/>
      <c r="H703" s="302"/>
    </row>
    <row r="704" spans="4:8" ht="12.75" customHeight="1" x14ac:dyDescent="0.3">
      <c r="D704" s="305"/>
      <c r="E704" s="302"/>
      <c r="F704" s="302"/>
      <c r="G704" s="302"/>
      <c r="H704" s="302"/>
    </row>
    <row r="705" spans="4:8" ht="12.75" customHeight="1" x14ac:dyDescent="0.3">
      <c r="D705" s="305"/>
      <c r="E705" s="302"/>
      <c r="F705" s="302"/>
      <c r="G705" s="302"/>
      <c r="H705" s="302"/>
    </row>
    <row r="706" spans="4:8" ht="12.75" customHeight="1" x14ac:dyDescent="0.3">
      <c r="D706" s="305"/>
      <c r="E706" s="302"/>
      <c r="F706" s="302"/>
      <c r="G706" s="302"/>
      <c r="H706" s="302"/>
    </row>
    <row r="707" spans="4:8" ht="12.75" customHeight="1" x14ac:dyDescent="0.3">
      <c r="D707" s="305"/>
      <c r="E707" s="302"/>
      <c r="F707" s="302"/>
      <c r="G707" s="302"/>
      <c r="H707" s="302"/>
    </row>
    <row r="708" spans="4:8" ht="12.75" customHeight="1" x14ac:dyDescent="0.3">
      <c r="D708" s="305"/>
      <c r="E708" s="302"/>
      <c r="F708" s="302"/>
      <c r="G708" s="302"/>
      <c r="H708" s="302"/>
    </row>
    <row r="709" spans="4:8" ht="12.75" customHeight="1" x14ac:dyDescent="0.3">
      <c r="D709" s="305"/>
      <c r="E709" s="302"/>
      <c r="F709" s="302"/>
      <c r="G709" s="302"/>
      <c r="H709" s="302"/>
    </row>
    <row r="710" spans="4:8" ht="12.75" customHeight="1" x14ac:dyDescent="0.3">
      <c r="D710" s="305"/>
      <c r="E710" s="302"/>
      <c r="F710" s="302"/>
      <c r="G710" s="302"/>
      <c r="H710" s="302"/>
    </row>
    <row r="711" spans="4:8" ht="12.75" customHeight="1" x14ac:dyDescent="0.3">
      <c r="D711" s="305"/>
      <c r="E711" s="302"/>
      <c r="F711" s="302"/>
      <c r="G711" s="302"/>
      <c r="H711" s="302"/>
    </row>
    <row r="712" spans="4:8" ht="12.75" customHeight="1" x14ac:dyDescent="0.3">
      <c r="D712" s="305"/>
      <c r="E712" s="302"/>
      <c r="F712" s="302"/>
      <c r="G712" s="302"/>
      <c r="H712" s="302"/>
    </row>
    <row r="713" spans="4:8" ht="12.75" customHeight="1" x14ac:dyDescent="0.3">
      <c r="D713" s="305"/>
      <c r="E713" s="302"/>
      <c r="F713" s="302"/>
      <c r="G713" s="302"/>
      <c r="H713" s="302"/>
    </row>
    <row r="714" spans="4:8" ht="12.75" customHeight="1" x14ac:dyDescent="0.3">
      <c r="D714" s="305"/>
      <c r="E714" s="302"/>
      <c r="F714" s="302"/>
      <c r="G714" s="302"/>
      <c r="H714" s="302"/>
    </row>
    <row r="715" spans="4:8" ht="12.75" customHeight="1" x14ac:dyDescent="0.3">
      <c r="D715" s="305"/>
      <c r="E715" s="302"/>
      <c r="F715" s="302"/>
      <c r="G715" s="302"/>
      <c r="H715" s="302"/>
    </row>
    <row r="716" spans="4:8" ht="12.75" customHeight="1" x14ac:dyDescent="0.3">
      <c r="D716" s="305"/>
      <c r="E716" s="302"/>
      <c r="F716" s="302"/>
      <c r="G716" s="302"/>
      <c r="H716" s="302"/>
    </row>
    <row r="717" spans="4:8" ht="12.75" customHeight="1" x14ac:dyDescent="0.3">
      <c r="D717" s="305"/>
      <c r="E717" s="302"/>
      <c r="F717" s="302"/>
      <c r="G717" s="302"/>
      <c r="H717" s="302"/>
    </row>
    <row r="718" spans="4:8" ht="12.75" customHeight="1" x14ac:dyDescent="0.3">
      <c r="D718" s="305"/>
      <c r="E718" s="302"/>
      <c r="F718" s="302"/>
      <c r="G718" s="302"/>
      <c r="H718" s="302"/>
    </row>
    <row r="719" spans="4:8" ht="12.75" customHeight="1" x14ac:dyDescent="0.3">
      <c r="D719" s="305"/>
      <c r="E719" s="302"/>
      <c r="F719" s="302"/>
      <c r="G719" s="302"/>
      <c r="H719" s="302"/>
    </row>
    <row r="720" spans="4:8" ht="12.75" customHeight="1" x14ac:dyDescent="0.3">
      <c r="D720" s="305"/>
      <c r="E720" s="302"/>
      <c r="F720" s="302"/>
      <c r="G720" s="302"/>
      <c r="H720" s="302"/>
    </row>
    <row r="721" spans="4:8" ht="12.75" customHeight="1" x14ac:dyDescent="0.3">
      <c r="D721" s="305"/>
      <c r="E721" s="302"/>
      <c r="F721" s="302"/>
      <c r="G721" s="302"/>
      <c r="H721" s="302"/>
    </row>
    <row r="722" spans="4:8" ht="12.75" customHeight="1" x14ac:dyDescent="0.3">
      <c r="D722" s="305"/>
      <c r="E722" s="302"/>
      <c r="F722" s="302"/>
      <c r="G722" s="302"/>
      <c r="H722" s="302"/>
    </row>
    <row r="723" spans="4:8" ht="12.75" customHeight="1" x14ac:dyDescent="0.3">
      <c r="D723" s="305"/>
      <c r="E723" s="302"/>
      <c r="F723" s="302"/>
      <c r="G723" s="302"/>
      <c r="H723" s="302"/>
    </row>
    <row r="724" spans="4:8" ht="12.75" customHeight="1" x14ac:dyDescent="0.3">
      <c r="D724" s="305"/>
      <c r="E724" s="302"/>
      <c r="F724" s="302"/>
      <c r="G724" s="302"/>
      <c r="H724" s="302"/>
    </row>
    <row r="725" spans="4:8" ht="12.75" customHeight="1" x14ac:dyDescent="0.3">
      <c r="D725" s="305"/>
      <c r="E725" s="302"/>
      <c r="F725" s="302"/>
      <c r="G725" s="302"/>
      <c r="H725" s="302"/>
    </row>
    <row r="726" spans="4:8" ht="12.75" customHeight="1" x14ac:dyDescent="0.3">
      <c r="D726" s="305"/>
      <c r="E726" s="302"/>
      <c r="F726" s="302"/>
      <c r="G726" s="302"/>
      <c r="H726" s="302"/>
    </row>
    <row r="727" spans="4:8" ht="12.75" customHeight="1" x14ac:dyDescent="0.3">
      <c r="D727" s="305"/>
      <c r="E727" s="302"/>
      <c r="F727" s="302"/>
      <c r="G727" s="302"/>
      <c r="H727" s="302"/>
    </row>
    <row r="728" spans="4:8" ht="12.75" customHeight="1" x14ac:dyDescent="0.3">
      <c r="D728" s="305"/>
      <c r="E728" s="302"/>
      <c r="F728" s="302"/>
      <c r="G728" s="302"/>
      <c r="H728" s="302"/>
    </row>
    <row r="729" spans="4:8" ht="12.75" customHeight="1" x14ac:dyDescent="0.3">
      <c r="D729" s="305"/>
      <c r="E729" s="302"/>
      <c r="F729" s="302"/>
      <c r="G729" s="302"/>
      <c r="H729" s="302"/>
    </row>
    <row r="730" spans="4:8" ht="12.75" customHeight="1" x14ac:dyDescent="0.3">
      <c r="D730" s="305"/>
      <c r="E730" s="302"/>
      <c r="F730" s="302"/>
      <c r="G730" s="302"/>
      <c r="H730" s="302"/>
    </row>
    <row r="731" spans="4:8" ht="12.75" customHeight="1" x14ac:dyDescent="0.3">
      <c r="D731" s="305"/>
      <c r="E731" s="302"/>
      <c r="F731" s="302"/>
      <c r="G731" s="302"/>
      <c r="H731" s="302"/>
    </row>
    <row r="732" spans="4:8" ht="12.75" customHeight="1" x14ac:dyDescent="0.3">
      <c r="D732" s="305"/>
      <c r="E732" s="302"/>
      <c r="F732" s="302"/>
      <c r="G732" s="302"/>
      <c r="H732" s="302"/>
    </row>
    <row r="733" spans="4:8" ht="12.75" customHeight="1" x14ac:dyDescent="0.3">
      <c r="D733" s="305"/>
      <c r="E733" s="302"/>
      <c r="F733" s="302"/>
      <c r="G733" s="302"/>
      <c r="H733" s="302"/>
    </row>
    <row r="734" spans="4:8" ht="12.75" customHeight="1" x14ac:dyDescent="0.3">
      <c r="D734" s="305"/>
      <c r="E734" s="302"/>
      <c r="F734" s="302"/>
      <c r="G734" s="302"/>
      <c r="H734" s="302"/>
    </row>
    <row r="735" spans="4:8" ht="12.75" customHeight="1" x14ac:dyDescent="0.3">
      <c r="D735" s="305"/>
      <c r="E735" s="302"/>
      <c r="F735" s="302"/>
      <c r="G735" s="302"/>
      <c r="H735" s="302"/>
    </row>
    <row r="736" spans="4:8" ht="12.75" customHeight="1" x14ac:dyDescent="0.3">
      <c r="D736" s="305"/>
      <c r="E736" s="302"/>
      <c r="F736" s="302"/>
      <c r="G736" s="302"/>
      <c r="H736" s="302"/>
    </row>
    <row r="737" spans="4:8" ht="12.75" customHeight="1" x14ac:dyDescent="0.3">
      <c r="D737" s="305"/>
      <c r="E737" s="302"/>
      <c r="F737" s="302"/>
      <c r="G737" s="302"/>
      <c r="H737" s="302"/>
    </row>
    <row r="738" spans="4:8" ht="12.75" customHeight="1" x14ac:dyDescent="0.3">
      <c r="D738" s="305"/>
      <c r="E738" s="302"/>
      <c r="F738" s="302"/>
      <c r="G738" s="302"/>
      <c r="H738" s="302"/>
    </row>
    <row r="739" spans="4:8" ht="12.75" customHeight="1" x14ac:dyDescent="0.3">
      <c r="D739" s="305"/>
      <c r="E739" s="302"/>
      <c r="F739" s="302"/>
      <c r="G739" s="302"/>
      <c r="H739" s="302"/>
    </row>
    <row r="740" spans="4:8" ht="12.75" customHeight="1" x14ac:dyDescent="0.3">
      <c r="D740" s="305"/>
      <c r="E740" s="302"/>
      <c r="F740" s="302"/>
      <c r="G740" s="302"/>
      <c r="H740" s="302"/>
    </row>
    <row r="741" spans="4:8" ht="12.75" customHeight="1" x14ac:dyDescent="0.3">
      <c r="D741" s="305"/>
      <c r="E741" s="302"/>
      <c r="F741" s="302"/>
      <c r="G741" s="302"/>
      <c r="H741" s="302"/>
    </row>
    <row r="742" spans="4:8" ht="12.75" customHeight="1" x14ac:dyDescent="0.3">
      <c r="D742" s="305"/>
      <c r="E742" s="302"/>
      <c r="F742" s="302"/>
      <c r="G742" s="302"/>
      <c r="H742" s="302"/>
    </row>
    <row r="743" spans="4:8" ht="13.5" customHeight="1" x14ac:dyDescent="0.3">
      <c r="D743" s="305"/>
      <c r="E743" s="302"/>
      <c r="F743" s="302"/>
      <c r="G743" s="302"/>
      <c r="H743" s="302"/>
    </row>
    <row r="744" spans="4:8" ht="12.75" customHeight="1" x14ac:dyDescent="0.3">
      <c r="D744" s="305"/>
      <c r="E744" s="302"/>
      <c r="F744" s="302"/>
      <c r="G744" s="302"/>
      <c r="H744" s="302"/>
    </row>
    <row r="745" spans="4:8" ht="12.75" customHeight="1" x14ac:dyDescent="0.3">
      <c r="D745" s="305"/>
      <c r="E745" s="302"/>
      <c r="F745" s="302"/>
      <c r="G745" s="302"/>
      <c r="H745" s="302"/>
    </row>
    <row r="746" spans="4:8" ht="12.75" customHeight="1" x14ac:dyDescent="0.3">
      <c r="D746" s="305"/>
      <c r="E746" s="302"/>
      <c r="F746" s="302"/>
      <c r="G746" s="302"/>
      <c r="H746" s="302"/>
    </row>
    <row r="747" spans="4:8" ht="12.75" customHeight="1" x14ac:dyDescent="0.3">
      <c r="D747" s="305"/>
      <c r="E747" s="302"/>
      <c r="F747" s="302"/>
      <c r="G747" s="302"/>
      <c r="H747" s="302"/>
    </row>
    <row r="748" spans="4:8" ht="12.75" customHeight="1" x14ac:dyDescent="0.3">
      <c r="D748" s="305"/>
      <c r="E748" s="302"/>
      <c r="F748" s="302"/>
      <c r="G748" s="302"/>
      <c r="H748" s="302"/>
    </row>
    <row r="749" spans="4:8" ht="12.75" customHeight="1" x14ac:dyDescent="0.3">
      <c r="D749" s="305"/>
      <c r="E749" s="302"/>
      <c r="F749" s="302"/>
      <c r="G749" s="302"/>
      <c r="H749" s="302"/>
    </row>
    <row r="750" spans="4:8" ht="12.75" customHeight="1" x14ac:dyDescent="0.3">
      <c r="D750" s="305"/>
      <c r="E750" s="302"/>
      <c r="F750" s="302"/>
      <c r="G750" s="302"/>
      <c r="H750" s="302"/>
    </row>
    <row r="751" spans="4:8" ht="12.75" customHeight="1" x14ac:dyDescent="0.3">
      <c r="D751" s="305"/>
      <c r="E751" s="302"/>
      <c r="F751" s="302"/>
      <c r="G751" s="302"/>
      <c r="H751" s="302"/>
    </row>
    <row r="752" spans="4:8" ht="12.75" customHeight="1" x14ac:dyDescent="0.3">
      <c r="D752" s="305"/>
      <c r="E752" s="302"/>
      <c r="F752" s="302"/>
      <c r="G752" s="302"/>
      <c r="H752" s="302"/>
    </row>
    <row r="753" spans="4:8" ht="12.75" customHeight="1" x14ac:dyDescent="0.3">
      <c r="D753" s="305"/>
      <c r="E753" s="302"/>
      <c r="F753" s="302"/>
      <c r="G753" s="302"/>
      <c r="H753" s="302"/>
    </row>
    <row r="754" spans="4:8" ht="12.75" customHeight="1" x14ac:dyDescent="0.3">
      <c r="D754" s="305"/>
      <c r="E754" s="302"/>
      <c r="F754" s="302"/>
      <c r="G754" s="302"/>
      <c r="H754" s="302"/>
    </row>
    <row r="755" spans="4:8" ht="12.75" customHeight="1" x14ac:dyDescent="0.3">
      <c r="D755" s="305"/>
      <c r="E755" s="302"/>
      <c r="F755" s="302"/>
      <c r="G755" s="302"/>
      <c r="H755" s="302"/>
    </row>
    <row r="756" spans="4:8" ht="12.75" customHeight="1" x14ac:dyDescent="0.3">
      <c r="D756" s="305"/>
      <c r="E756" s="302"/>
      <c r="F756" s="302"/>
      <c r="G756" s="302"/>
      <c r="H756" s="302"/>
    </row>
    <row r="757" spans="4:8" ht="12.75" customHeight="1" x14ac:dyDescent="0.3">
      <c r="D757" s="305"/>
      <c r="E757" s="302"/>
      <c r="F757" s="302"/>
      <c r="G757" s="302"/>
      <c r="H757" s="302"/>
    </row>
    <row r="758" spans="4:8" ht="12.75" customHeight="1" x14ac:dyDescent="0.3">
      <c r="D758" s="305"/>
      <c r="E758" s="302"/>
      <c r="F758" s="302"/>
      <c r="G758" s="302"/>
      <c r="H758" s="302"/>
    </row>
    <row r="759" spans="4:8" ht="12.75" customHeight="1" x14ac:dyDescent="0.3">
      <c r="D759" s="305"/>
      <c r="E759" s="302"/>
      <c r="F759" s="302"/>
      <c r="G759" s="302"/>
      <c r="H759" s="302"/>
    </row>
    <row r="760" spans="4:8" ht="12.75" customHeight="1" x14ac:dyDescent="0.3">
      <c r="D760" s="305"/>
      <c r="E760" s="302"/>
      <c r="F760" s="302"/>
      <c r="G760" s="302"/>
      <c r="H760" s="302"/>
    </row>
    <row r="761" spans="4:8" ht="12.75" customHeight="1" x14ac:dyDescent="0.3">
      <c r="D761" s="305"/>
      <c r="E761" s="302"/>
      <c r="F761" s="302"/>
      <c r="G761" s="302"/>
      <c r="H761" s="302"/>
    </row>
    <row r="762" spans="4:8" ht="12.75" customHeight="1" x14ac:dyDescent="0.3">
      <c r="D762" s="305"/>
      <c r="E762" s="302"/>
      <c r="F762" s="302"/>
      <c r="G762" s="302"/>
      <c r="H762" s="302"/>
    </row>
    <row r="763" spans="4:8" ht="12.75" customHeight="1" x14ac:dyDescent="0.3">
      <c r="D763" s="305"/>
      <c r="E763" s="302"/>
      <c r="F763" s="302"/>
      <c r="G763" s="302"/>
      <c r="H763" s="302"/>
    </row>
    <row r="764" spans="4:8" ht="12.75" customHeight="1" x14ac:dyDescent="0.3">
      <c r="D764" s="305"/>
      <c r="E764" s="302"/>
      <c r="F764" s="302"/>
      <c r="G764" s="302"/>
      <c r="H764" s="302"/>
    </row>
    <row r="765" spans="4:8" ht="12.75" customHeight="1" x14ac:dyDescent="0.3">
      <c r="D765" s="305"/>
      <c r="E765" s="302"/>
      <c r="F765" s="302"/>
      <c r="G765" s="302"/>
      <c r="H765" s="302"/>
    </row>
    <row r="766" spans="4:8" ht="12.75" customHeight="1" x14ac:dyDescent="0.3">
      <c r="D766" s="305"/>
      <c r="E766" s="302"/>
      <c r="F766" s="302"/>
      <c r="G766" s="302"/>
      <c r="H766" s="302"/>
    </row>
    <row r="767" spans="4:8" ht="12.75" customHeight="1" x14ac:dyDescent="0.3">
      <c r="D767" s="305"/>
      <c r="E767" s="302"/>
      <c r="F767" s="302"/>
      <c r="G767" s="302"/>
      <c r="H767" s="302"/>
    </row>
    <row r="768" spans="4:8" ht="12.75" customHeight="1" x14ac:dyDescent="0.3">
      <c r="D768" s="305"/>
      <c r="E768" s="302"/>
      <c r="F768" s="302"/>
      <c r="G768" s="302"/>
      <c r="H768" s="302"/>
    </row>
    <row r="769" spans="4:30" ht="12.75" customHeight="1" x14ac:dyDescent="0.3">
      <c r="D769" s="305"/>
      <c r="E769" s="302"/>
      <c r="F769" s="302"/>
      <c r="G769" s="302"/>
      <c r="H769" s="302"/>
    </row>
    <row r="770" spans="4:30" ht="12.75" customHeight="1" x14ac:dyDescent="0.3">
      <c r="D770" s="305"/>
      <c r="E770" s="302"/>
      <c r="F770" s="302"/>
      <c r="G770" s="302"/>
      <c r="H770" s="302"/>
      <c r="AD770" s="91">
        <v>1</v>
      </c>
    </row>
    <row r="771" spans="4:30" ht="12.75" customHeight="1" x14ac:dyDescent="0.3">
      <c r="D771" s="305"/>
      <c r="E771" s="302"/>
      <c r="F771" s="302"/>
      <c r="G771" s="302"/>
      <c r="H771" s="302"/>
    </row>
    <row r="772" spans="4:30" ht="12.75" customHeight="1" x14ac:dyDescent="0.3">
      <c r="D772" s="305"/>
      <c r="E772" s="302"/>
      <c r="F772" s="302"/>
      <c r="G772" s="302"/>
      <c r="H772" s="302"/>
    </row>
    <row r="773" spans="4:30" ht="12.75" customHeight="1" x14ac:dyDescent="0.3">
      <c r="D773" s="305"/>
      <c r="E773" s="302"/>
      <c r="F773" s="302"/>
      <c r="G773" s="302"/>
      <c r="H773" s="302"/>
    </row>
    <row r="774" spans="4:30" ht="12.75" customHeight="1" x14ac:dyDescent="0.3">
      <c r="D774" s="305"/>
      <c r="E774" s="302"/>
      <c r="F774" s="302"/>
      <c r="G774" s="302"/>
      <c r="H774" s="302"/>
    </row>
    <row r="775" spans="4:30" ht="12.75" customHeight="1" x14ac:dyDescent="0.3">
      <c r="D775" s="305"/>
      <c r="E775" s="302"/>
      <c r="F775" s="302"/>
      <c r="G775" s="302"/>
      <c r="H775" s="302"/>
    </row>
    <row r="776" spans="4:30" ht="12.75" customHeight="1" x14ac:dyDescent="0.3">
      <c r="D776" s="305"/>
      <c r="E776" s="302"/>
      <c r="F776" s="302"/>
      <c r="G776" s="302"/>
      <c r="H776" s="302"/>
    </row>
    <row r="777" spans="4:30" ht="12.75" customHeight="1" x14ac:dyDescent="0.3">
      <c r="D777" s="305"/>
      <c r="E777" s="302"/>
      <c r="F777" s="302"/>
      <c r="G777" s="302"/>
      <c r="H777" s="302"/>
    </row>
    <row r="778" spans="4:30" ht="12.75" customHeight="1" x14ac:dyDescent="0.3">
      <c r="D778" s="305"/>
      <c r="E778" s="302"/>
      <c r="F778" s="302"/>
      <c r="G778" s="302"/>
      <c r="H778" s="302"/>
    </row>
    <row r="779" spans="4:30" ht="12.75" customHeight="1" x14ac:dyDescent="0.3">
      <c r="D779" s="305"/>
      <c r="E779" s="302"/>
      <c r="F779" s="302"/>
      <c r="G779" s="302"/>
      <c r="H779" s="302"/>
    </row>
    <row r="780" spans="4:30" ht="12.75" customHeight="1" x14ac:dyDescent="0.3">
      <c r="D780" s="305"/>
      <c r="E780" s="302"/>
      <c r="F780" s="302"/>
      <c r="G780" s="302"/>
      <c r="H780" s="302"/>
    </row>
    <row r="781" spans="4:30" ht="12.75" customHeight="1" x14ac:dyDescent="0.3">
      <c r="D781" s="305"/>
      <c r="F781" s="302"/>
      <c r="G781" s="302"/>
      <c r="H781" s="302"/>
    </row>
    <row r="782" spans="4:30" ht="12.75" customHeight="1" x14ac:dyDescent="0.3">
      <c r="D782" s="305"/>
      <c r="F782" s="302"/>
      <c r="G782" s="302"/>
      <c r="H782" s="302"/>
    </row>
    <row r="783" spans="4:30" ht="12.75" customHeight="1" x14ac:dyDescent="0.3"/>
    <row r="784" spans="4:30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</sheetData>
  <mergeCells count="278">
    <mergeCell ref="K257:M257"/>
    <mergeCell ref="P257:Q257"/>
    <mergeCell ref="L258:M258"/>
    <mergeCell ref="G47:I48"/>
    <mergeCell ref="D47:F48"/>
    <mergeCell ref="B47:C48"/>
    <mergeCell ref="G49:I50"/>
    <mergeCell ref="D49:F50"/>
    <mergeCell ref="B49:C50"/>
    <mergeCell ref="B70:D70"/>
    <mergeCell ref="K70:M70"/>
    <mergeCell ref="O70:Q70"/>
    <mergeCell ref="L71:M71"/>
    <mergeCell ref="O71:Q71"/>
    <mergeCell ref="K64:L64"/>
    <mergeCell ref="N64:O64"/>
    <mergeCell ref="P64:Q64"/>
    <mergeCell ref="K65:L65"/>
    <mergeCell ref="N65:O65"/>
    <mergeCell ref="K62:L62"/>
    <mergeCell ref="N62:O62"/>
    <mergeCell ref="B57:C58"/>
    <mergeCell ref="D57:F58"/>
    <mergeCell ref="G57:I58"/>
    <mergeCell ref="T62:U62"/>
    <mergeCell ref="K63:L63"/>
    <mergeCell ref="N63:O63"/>
    <mergeCell ref="T63:U63"/>
    <mergeCell ref="D60:F60"/>
    <mergeCell ref="K60:L60"/>
    <mergeCell ref="N60:O60"/>
    <mergeCell ref="P60:Q60"/>
    <mergeCell ref="T60:U60"/>
    <mergeCell ref="K61:L61"/>
    <mergeCell ref="N61:O61"/>
    <mergeCell ref="P61:Q61"/>
    <mergeCell ref="T61:U61"/>
    <mergeCell ref="T57:U57"/>
    <mergeCell ref="K58:L58"/>
    <mergeCell ref="N58:O58"/>
    <mergeCell ref="P58:Q58"/>
    <mergeCell ref="T58:U58"/>
    <mergeCell ref="K59:L59"/>
    <mergeCell ref="N59:O59"/>
    <mergeCell ref="P59:Q59"/>
    <mergeCell ref="T59:U59"/>
    <mergeCell ref="K57:L57"/>
    <mergeCell ref="N57:O57"/>
    <mergeCell ref="P57:Q57"/>
    <mergeCell ref="K56:L56"/>
    <mergeCell ref="N56:O56"/>
    <mergeCell ref="P56:Q56"/>
    <mergeCell ref="T56:U56"/>
    <mergeCell ref="T53:U53"/>
    <mergeCell ref="K54:L54"/>
    <mergeCell ref="N54:O54"/>
    <mergeCell ref="P54:Q54"/>
    <mergeCell ref="T54:U54"/>
    <mergeCell ref="B51:C52"/>
    <mergeCell ref="D51:F52"/>
    <mergeCell ref="G51:I52"/>
    <mergeCell ref="K51:L51"/>
    <mergeCell ref="N51:O51"/>
    <mergeCell ref="P51:Q51"/>
    <mergeCell ref="T51:U51"/>
    <mergeCell ref="B55:C56"/>
    <mergeCell ref="D55:F56"/>
    <mergeCell ref="G55:I56"/>
    <mergeCell ref="K55:L55"/>
    <mergeCell ref="N55:O55"/>
    <mergeCell ref="K52:L52"/>
    <mergeCell ref="N52:O52"/>
    <mergeCell ref="P52:Q52"/>
    <mergeCell ref="T52:U52"/>
    <mergeCell ref="B53:C54"/>
    <mergeCell ref="D53:F54"/>
    <mergeCell ref="G53:I54"/>
    <mergeCell ref="K53:L53"/>
    <mergeCell ref="N53:O53"/>
    <mergeCell ref="P53:Q53"/>
    <mergeCell ref="P55:Q55"/>
    <mergeCell ref="T55:U55"/>
    <mergeCell ref="P48:Q48"/>
    <mergeCell ref="T48:U48"/>
    <mergeCell ref="K49:L49"/>
    <mergeCell ref="N49:O49"/>
    <mergeCell ref="P49:Q49"/>
    <mergeCell ref="T49:U49"/>
    <mergeCell ref="K50:L50"/>
    <mergeCell ref="T46:U46"/>
    <mergeCell ref="K47:L47"/>
    <mergeCell ref="N47:O47"/>
    <mergeCell ref="P47:Q47"/>
    <mergeCell ref="T47:U47"/>
    <mergeCell ref="K48:L48"/>
    <mergeCell ref="N48:O48"/>
    <mergeCell ref="N50:O50"/>
    <mergeCell ref="P50:Q50"/>
    <mergeCell ref="T50:U50"/>
    <mergeCell ref="B46:C46"/>
    <mergeCell ref="D46:F46"/>
    <mergeCell ref="G46:I46"/>
    <mergeCell ref="K46:L46"/>
    <mergeCell ref="N46:O46"/>
    <mergeCell ref="P46:Q46"/>
    <mergeCell ref="K44:L44"/>
    <mergeCell ref="N44:O44"/>
    <mergeCell ref="P44:Q44"/>
    <mergeCell ref="T44:U44"/>
    <mergeCell ref="K45:L45"/>
    <mergeCell ref="N45:O45"/>
    <mergeCell ref="P45:Q45"/>
    <mergeCell ref="T45:U45"/>
    <mergeCell ref="K42:L42"/>
    <mergeCell ref="N42:O42"/>
    <mergeCell ref="P42:Q42"/>
    <mergeCell ref="T42:U42"/>
    <mergeCell ref="K43:L43"/>
    <mergeCell ref="N43:O43"/>
    <mergeCell ref="P43:Q43"/>
    <mergeCell ref="T43:U43"/>
    <mergeCell ref="K40:L40"/>
    <mergeCell ref="N40:O40"/>
    <mergeCell ref="P40:Q40"/>
    <mergeCell ref="T40:U40"/>
    <mergeCell ref="K41:L41"/>
    <mergeCell ref="N41:O41"/>
    <mergeCell ref="P41:Q41"/>
    <mergeCell ref="T41:U41"/>
    <mergeCell ref="F38:I38"/>
    <mergeCell ref="K38:L38"/>
    <mergeCell ref="N38:O38"/>
    <mergeCell ref="P38:Q38"/>
    <mergeCell ref="T38:U38"/>
    <mergeCell ref="F39:G39"/>
    <mergeCell ref="K39:L39"/>
    <mergeCell ref="N39:O39"/>
    <mergeCell ref="P39:Q39"/>
    <mergeCell ref="T39:U39"/>
    <mergeCell ref="F36:I36"/>
    <mergeCell ref="K36:L36"/>
    <mergeCell ref="N36:O36"/>
    <mergeCell ref="P36:Q36"/>
    <mergeCell ref="T36:U36"/>
    <mergeCell ref="F37:I37"/>
    <mergeCell ref="K37:L37"/>
    <mergeCell ref="N37:O37"/>
    <mergeCell ref="P37:Q37"/>
    <mergeCell ref="T37:U37"/>
    <mergeCell ref="K34:L34"/>
    <mergeCell ref="N34:O34"/>
    <mergeCell ref="P34:Q34"/>
    <mergeCell ref="T34:U34"/>
    <mergeCell ref="F35:I35"/>
    <mergeCell ref="K35:L35"/>
    <mergeCell ref="N35:O35"/>
    <mergeCell ref="P35:Q35"/>
    <mergeCell ref="T35:U35"/>
    <mergeCell ref="K32:L32"/>
    <mergeCell ref="N32:O32"/>
    <mergeCell ref="P32:Q32"/>
    <mergeCell ref="T32:U32"/>
    <mergeCell ref="K33:L33"/>
    <mergeCell ref="N33:O33"/>
    <mergeCell ref="P33:Q33"/>
    <mergeCell ref="T33:U33"/>
    <mergeCell ref="K30:L30"/>
    <mergeCell ref="N30:O30"/>
    <mergeCell ref="P30:Q30"/>
    <mergeCell ref="T30:U30"/>
    <mergeCell ref="F31:I31"/>
    <mergeCell ref="K31:L31"/>
    <mergeCell ref="N31:O31"/>
    <mergeCell ref="P31:Q31"/>
    <mergeCell ref="T31:U31"/>
    <mergeCell ref="K28:L28"/>
    <mergeCell ref="N28:O28"/>
    <mergeCell ref="P28:Q28"/>
    <mergeCell ref="T28:U28"/>
    <mergeCell ref="B29:C29"/>
    <mergeCell ref="F29:I29"/>
    <mergeCell ref="K29:L29"/>
    <mergeCell ref="N29:O29"/>
    <mergeCell ref="P29:Q29"/>
    <mergeCell ref="T29:U29"/>
    <mergeCell ref="K26:L26"/>
    <mergeCell ref="N26:O26"/>
    <mergeCell ref="P26:Q26"/>
    <mergeCell ref="T26:U26"/>
    <mergeCell ref="F27:I27"/>
    <mergeCell ref="K27:L27"/>
    <mergeCell ref="N27:O27"/>
    <mergeCell ref="P27:Q27"/>
    <mergeCell ref="T27:U27"/>
    <mergeCell ref="B25:C25"/>
    <mergeCell ref="H25:I25"/>
    <mergeCell ref="K25:L25"/>
    <mergeCell ref="N25:O25"/>
    <mergeCell ref="P25:Q25"/>
    <mergeCell ref="T25:U25"/>
    <mergeCell ref="K23:L23"/>
    <mergeCell ref="N23:O23"/>
    <mergeCell ref="P23:Q23"/>
    <mergeCell ref="T23:U23"/>
    <mergeCell ref="F24:I24"/>
    <mergeCell ref="K24:L24"/>
    <mergeCell ref="N24:O24"/>
    <mergeCell ref="P24:Q24"/>
    <mergeCell ref="T24:U24"/>
    <mergeCell ref="K21:L21"/>
    <mergeCell ref="N21:O21"/>
    <mergeCell ref="P21:Q21"/>
    <mergeCell ref="T21:U21"/>
    <mergeCell ref="F22:I22"/>
    <mergeCell ref="K22:L22"/>
    <mergeCell ref="N22:O22"/>
    <mergeCell ref="P22:Q22"/>
    <mergeCell ref="T22:U22"/>
    <mergeCell ref="F20:I20"/>
    <mergeCell ref="K20:L20"/>
    <mergeCell ref="N20:O20"/>
    <mergeCell ref="P20:Q20"/>
    <mergeCell ref="T20:U20"/>
    <mergeCell ref="Y20:Z20"/>
    <mergeCell ref="T18:U18"/>
    <mergeCell ref="Y18:Z18"/>
    <mergeCell ref="F19:I19"/>
    <mergeCell ref="K19:L19"/>
    <mergeCell ref="N19:O19"/>
    <mergeCell ref="P19:Q19"/>
    <mergeCell ref="T19:U19"/>
    <mergeCell ref="Y19:Z19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G2:I2"/>
    <mergeCell ref="B4:I4"/>
    <mergeCell ref="K4:Q4"/>
    <mergeCell ref="E6:I6"/>
    <mergeCell ref="K6:L6"/>
    <mergeCell ref="N6:Q6"/>
    <mergeCell ref="E9:I9"/>
    <mergeCell ref="K9:L9"/>
    <mergeCell ref="N9:Q9"/>
  </mergeCells>
  <pageMargins left="0.7" right="0.7" top="0.75" bottom="0.75" header="0.3" footer="0.3"/>
  <pageSetup scale="74" orientation="portrait" horizontalDpi="0" verticalDpi="0" r:id="rId1"/>
  <colBreaks count="1" manualBreakCount="1">
    <brk id="1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08CBC-6B8D-40E7-B5FB-265D67764F52}">
  <dimension ref="A1:BA858"/>
  <sheetViews>
    <sheetView view="pageBreakPreview" topLeftCell="A10" zoomScale="60" zoomScaleNormal="90" workbookViewId="0">
      <selection activeCell="Q75" sqref="A1:Q75"/>
    </sheetView>
  </sheetViews>
  <sheetFormatPr defaultColWidth="8.85546875" defaultRowHeight="16.5" x14ac:dyDescent="0.3"/>
  <cols>
    <col min="1" max="1" width="1" style="91" customWidth="1"/>
    <col min="2" max="2" width="12.5703125" style="91" customWidth="1"/>
    <col min="3" max="3" width="18.7109375" style="91" customWidth="1"/>
    <col min="4" max="4" width="17.85546875" style="91" customWidth="1"/>
    <col min="5" max="5" width="23.42578125" style="91" customWidth="1"/>
    <col min="6" max="6" width="15.140625" style="91" customWidth="1"/>
    <col min="7" max="7" width="8.140625" style="91" customWidth="1"/>
    <col min="8" max="8" width="4.42578125" style="91" customWidth="1"/>
    <col min="9" max="9" width="17.7109375" style="91" customWidth="1"/>
    <col min="10" max="10" width="2.28515625" style="91" customWidth="1"/>
    <col min="11" max="11" width="9.140625" style="91" customWidth="1"/>
    <col min="12" max="12" width="20.28515625" style="93" customWidth="1"/>
    <col min="13" max="13" width="18.28515625" style="91" customWidth="1"/>
    <col min="14" max="14" width="21.7109375" style="91" customWidth="1"/>
    <col min="15" max="15" width="12.28515625" style="91" customWidth="1"/>
    <col min="16" max="16" width="16.85546875" style="91" customWidth="1"/>
    <col min="17" max="17" width="21.42578125" style="91" customWidth="1"/>
    <col min="18" max="18" width="4.7109375" style="91" customWidth="1"/>
    <col min="19" max="19" width="8.85546875" style="91"/>
    <col min="20" max="20" width="19" style="91" hidden="1" customWidth="1"/>
    <col min="21" max="22" width="8.85546875" style="91" hidden="1" customWidth="1"/>
    <col min="23" max="24" width="11.42578125" style="91" hidden="1" customWidth="1"/>
    <col min="25" max="26" width="0" style="91" hidden="1" customWidth="1"/>
    <col min="27" max="27" width="11.28515625" style="91" hidden="1" customWidth="1"/>
    <col min="28" max="28" width="8.85546875" style="91"/>
    <col min="29" max="29" width="13.140625" style="91" customWidth="1"/>
    <col min="30" max="30" width="14.5703125" style="91" customWidth="1"/>
    <col min="31" max="31" width="8.85546875" style="91"/>
    <col min="32" max="32" width="9.140625" style="91" bestFit="1" customWidth="1"/>
    <col min="33" max="33" width="17.140625" style="91" customWidth="1"/>
    <col min="34" max="34" width="17.85546875" style="91" customWidth="1"/>
    <col min="35" max="35" width="9.7109375" style="91" customWidth="1"/>
    <col min="36" max="36" width="10.7109375" style="234" customWidth="1"/>
    <col min="37" max="37" width="13.42578125" style="91" customWidth="1"/>
    <col min="38" max="38" width="12.7109375" style="91" customWidth="1"/>
    <col min="39" max="39" width="13.140625" style="91" customWidth="1"/>
    <col min="40" max="41" width="13.28515625" style="91" customWidth="1"/>
    <col min="42" max="42" width="11.28515625" style="91" customWidth="1"/>
    <col min="43" max="43" width="14.85546875" style="91" customWidth="1"/>
    <col min="44" max="44" width="5.85546875" style="91" customWidth="1"/>
    <col min="45" max="45" width="11.7109375" style="91" customWidth="1"/>
    <col min="46" max="46" width="12.7109375" style="91" customWidth="1"/>
    <col min="47" max="47" width="11.7109375" style="91" customWidth="1"/>
    <col min="48" max="48" width="12.7109375" style="91" customWidth="1"/>
    <col min="49" max="49" width="12.7109375" style="235" customWidth="1"/>
    <col min="50" max="50" width="14.5703125" style="236" customWidth="1"/>
    <col min="51" max="55" width="12.7109375" style="91" customWidth="1"/>
    <col min="56" max="16384" width="8.85546875" style="91"/>
  </cols>
  <sheetData>
    <row r="1" spans="1:17" ht="4.5" customHeight="1" x14ac:dyDescent="0.3">
      <c r="B1" s="227"/>
      <c r="C1" s="228">
        <f>(F15-(F16+F25))*12%</f>
        <v>1079336.2560000001</v>
      </c>
      <c r="D1" s="229">
        <f>[3]FORM!A14</f>
        <v>107</v>
      </c>
      <c r="E1" s="230"/>
      <c r="F1" s="102"/>
      <c r="G1" s="231"/>
      <c r="H1" s="231"/>
      <c r="J1" s="232">
        <v>0.01</v>
      </c>
      <c r="K1" s="230"/>
      <c r="L1" s="233"/>
      <c r="M1" s="233"/>
      <c r="N1" s="171"/>
    </row>
    <row r="2" spans="1:17" x14ac:dyDescent="0.3">
      <c r="B2" s="237" t="s">
        <v>94</v>
      </c>
      <c r="C2" s="104">
        <f ca="1">NOW()</f>
        <v>45932.593793518521</v>
      </c>
      <c r="D2" s="169"/>
      <c r="F2" s="98" t="s">
        <v>95</v>
      </c>
      <c r="G2" s="357" t="s">
        <v>96</v>
      </c>
      <c r="H2" s="357"/>
      <c r="I2" s="357"/>
      <c r="J2" s="85"/>
      <c r="K2" s="238" t="s">
        <v>94</v>
      </c>
      <c r="L2" s="104">
        <f ca="1">C2</f>
        <v>45932.593793518521</v>
      </c>
      <c r="M2" s="76"/>
      <c r="O2" s="82"/>
      <c r="P2" s="237" t="s">
        <v>97</v>
      </c>
      <c r="Q2" s="239" t="s">
        <v>98</v>
      </c>
    </row>
    <row r="3" spans="1:17" x14ac:dyDescent="0.3">
      <c r="C3" s="102"/>
      <c r="D3" s="102"/>
      <c r="E3" s="85"/>
      <c r="F3" s="85"/>
      <c r="G3" s="85"/>
      <c r="H3" s="85"/>
      <c r="I3" s="85"/>
      <c r="J3" s="85"/>
      <c r="K3" s="240"/>
      <c r="L3" s="241"/>
      <c r="M3" s="242"/>
      <c r="N3" s="139"/>
      <c r="O3" s="139"/>
      <c r="P3" s="139"/>
      <c r="Q3" s="139"/>
    </row>
    <row r="4" spans="1:17" ht="18.75" customHeight="1" x14ac:dyDescent="0.3">
      <c r="A4" s="76"/>
      <c r="B4" s="358" t="s">
        <v>99</v>
      </c>
      <c r="C4" s="358"/>
      <c r="D4" s="358"/>
      <c r="E4" s="358"/>
      <c r="F4" s="358"/>
      <c r="G4" s="358"/>
      <c r="H4" s="358"/>
      <c r="I4" s="359"/>
      <c r="J4" s="85"/>
      <c r="K4" s="360" t="s">
        <v>100</v>
      </c>
      <c r="L4" s="360"/>
      <c r="M4" s="360"/>
      <c r="N4" s="360"/>
      <c r="O4" s="360"/>
      <c r="P4" s="360"/>
      <c r="Q4" s="360"/>
    </row>
    <row r="5" spans="1:17" ht="12" customHeight="1" x14ac:dyDescent="0.3">
      <c r="A5" s="76"/>
      <c r="B5" s="76"/>
      <c r="C5" s="79"/>
      <c r="D5" s="79"/>
      <c r="E5" s="76"/>
      <c r="F5" s="79"/>
      <c r="G5" s="79"/>
      <c r="H5" s="79"/>
      <c r="I5" s="243"/>
      <c r="J5" s="85"/>
      <c r="K5" s="85"/>
      <c r="L5" s="85"/>
      <c r="M5" s="244"/>
      <c r="N5" s="76"/>
      <c r="O5" s="76"/>
      <c r="P5" s="76"/>
      <c r="Q5" s="76"/>
    </row>
    <row r="6" spans="1:17" x14ac:dyDescent="0.3">
      <c r="A6" s="76"/>
      <c r="B6" s="119" t="s">
        <v>101</v>
      </c>
      <c r="C6" s="71"/>
      <c r="D6" s="88" t="s">
        <v>102</v>
      </c>
      <c r="E6" s="361"/>
      <c r="F6" s="362"/>
      <c r="G6" s="362"/>
      <c r="H6" s="362"/>
      <c r="I6" s="363"/>
      <c r="J6" s="85"/>
      <c r="K6" s="364" t="s">
        <v>101</v>
      </c>
      <c r="L6" s="364"/>
      <c r="M6" s="88" t="s">
        <v>102</v>
      </c>
      <c r="N6" s="365">
        <f t="shared" ref="N6:N12" si="0">E6</f>
        <v>0</v>
      </c>
      <c r="O6" s="365"/>
      <c r="P6" s="365"/>
      <c r="Q6" s="365"/>
    </row>
    <row r="7" spans="1:17" ht="17.25" thickBot="1" x14ac:dyDescent="0.35">
      <c r="A7" s="76"/>
      <c r="B7" s="126" t="s">
        <v>103</v>
      </c>
      <c r="C7" s="125"/>
      <c r="D7" s="88" t="s">
        <v>102</v>
      </c>
      <c r="E7" s="361" t="str">
        <f>Pricelink!E18</f>
        <v>Terraces Commonwealth Townhouse</v>
      </c>
      <c r="F7" s="362"/>
      <c r="G7" s="362"/>
      <c r="H7" s="362"/>
      <c r="I7" s="363"/>
      <c r="J7" s="85"/>
      <c r="K7" s="364" t="s">
        <v>103</v>
      </c>
      <c r="L7" s="364"/>
      <c r="M7" s="245" t="s">
        <v>102</v>
      </c>
      <c r="N7" s="365" t="str">
        <f t="shared" si="0"/>
        <v>Terraces Commonwealth Townhouse</v>
      </c>
      <c r="O7" s="365"/>
      <c r="P7" s="365"/>
      <c r="Q7" s="365"/>
    </row>
    <row r="8" spans="1:17" x14ac:dyDescent="0.3">
      <c r="A8" s="83"/>
      <c r="B8" s="119" t="s">
        <v>18</v>
      </c>
      <c r="C8" s="71"/>
      <c r="D8" s="88" t="s">
        <v>102</v>
      </c>
      <c r="E8" s="361" t="str">
        <f>Pricelink!C28</f>
        <v>Unit C</v>
      </c>
      <c r="F8" s="362"/>
      <c r="G8" s="362"/>
      <c r="H8" s="362"/>
      <c r="I8" s="363"/>
      <c r="J8" s="85"/>
      <c r="K8" s="364" t="s">
        <v>104</v>
      </c>
      <c r="L8" s="364"/>
      <c r="M8" s="88" t="s">
        <v>102</v>
      </c>
      <c r="N8" s="365" t="str">
        <f t="shared" si="0"/>
        <v>Unit C</v>
      </c>
      <c r="O8" s="365"/>
      <c r="P8" s="365"/>
      <c r="Q8" s="365"/>
    </row>
    <row r="9" spans="1:17" hidden="1" x14ac:dyDescent="0.3">
      <c r="A9" s="76"/>
      <c r="B9" s="126"/>
      <c r="C9" s="125"/>
      <c r="D9" s="88"/>
      <c r="E9" s="361"/>
      <c r="F9" s="362"/>
      <c r="G9" s="362"/>
      <c r="H9" s="362"/>
      <c r="I9" s="363"/>
      <c r="J9" s="85"/>
      <c r="K9" s="364"/>
      <c r="L9" s="364"/>
      <c r="M9" s="88"/>
      <c r="N9" s="365"/>
      <c r="O9" s="365"/>
      <c r="P9" s="365"/>
      <c r="Q9" s="365"/>
    </row>
    <row r="10" spans="1:17" ht="17.25" thickBot="1" x14ac:dyDescent="0.35">
      <c r="A10" s="76"/>
      <c r="B10" s="126" t="s">
        <v>105</v>
      </c>
      <c r="C10" s="125"/>
      <c r="D10" s="88" t="s">
        <v>102</v>
      </c>
      <c r="E10" s="361" t="str">
        <f>Pricelink!E28</f>
        <v>Middle</v>
      </c>
      <c r="F10" s="362"/>
      <c r="G10" s="362"/>
      <c r="H10" s="362"/>
      <c r="I10" s="363"/>
      <c r="J10" s="85"/>
      <c r="K10" s="364" t="s">
        <v>105</v>
      </c>
      <c r="L10" s="364"/>
      <c r="M10" s="245" t="s">
        <v>102</v>
      </c>
      <c r="N10" s="365" t="str">
        <f t="shared" si="0"/>
        <v>Middle</v>
      </c>
      <c r="O10" s="365"/>
      <c r="P10" s="365"/>
      <c r="Q10" s="365"/>
    </row>
    <row r="11" spans="1:17" x14ac:dyDescent="0.3">
      <c r="A11" s="76"/>
      <c r="B11" s="126" t="s">
        <v>106</v>
      </c>
      <c r="C11" s="125"/>
      <c r="D11" s="88" t="s">
        <v>102</v>
      </c>
      <c r="E11" s="366">
        <f>Pricelink!F28</f>
        <v>52</v>
      </c>
      <c r="F11" s="367"/>
      <c r="G11" s="189" t="s">
        <v>107</v>
      </c>
      <c r="H11" s="362"/>
      <c r="I11" s="363"/>
      <c r="J11" s="85"/>
      <c r="K11" s="364" t="s">
        <v>108</v>
      </c>
      <c r="L11" s="364"/>
      <c r="M11" s="88" t="s">
        <v>102</v>
      </c>
      <c r="N11" s="368">
        <f t="shared" si="0"/>
        <v>52</v>
      </c>
      <c r="O11" s="369"/>
      <c r="P11" s="370" t="s">
        <v>107</v>
      </c>
      <c r="Q11" s="371"/>
    </row>
    <row r="12" spans="1:17" x14ac:dyDescent="0.3">
      <c r="A12" s="83"/>
      <c r="B12" s="120" t="s">
        <v>92</v>
      </c>
      <c r="C12" s="71"/>
      <c r="D12" s="88" t="s">
        <v>102</v>
      </c>
      <c r="E12" s="366">
        <f>Pricelink!G28</f>
        <v>145.36000000000001</v>
      </c>
      <c r="F12" s="367"/>
      <c r="G12" s="189" t="s">
        <v>107</v>
      </c>
      <c r="H12" s="370"/>
      <c r="I12" s="371"/>
      <c r="J12" s="85"/>
      <c r="K12" s="364" t="s">
        <v>109</v>
      </c>
      <c r="L12" s="364"/>
      <c r="M12" s="88" t="s">
        <v>102</v>
      </c>
      <c r="N12" s="372">
        <f t="shared" si="0"/>
        <v>145.36000000000001</v>
      </c>
      <c r="O12" s="373"/>
      <c r="P12" s="370" t="s">
        <v>107</v>
      </c>
      <c r="Q12" s="371"/>
    </row>
    <row r="13" spans="1:17" x14ac:dyDescent="0.3">
      <c r="A13" s="246"/>
      <c r="B13" s="247"/>
      <c r="C13" s="248"/>
      <c r="D13" s="88"/>
      <c r="E13" s="382"/>
      <c r="F13" s="383"/>
      <c r="G13" s="189"/>
      <c r="H13" s="370"/>
      <c r="I13" s="371"/>
      <c r="J13" s="85"/>
      <c r="K13" s="384"/>
      <c r="L13" s="384"/>
      <c r="M13" s="88"/>
      <c r="N13" s="372"/>
      <c r="O13" s="373"/>
      <c r="P13" s="370"/>
      <c r="Q13" s="371"/>
    </row>
    <row r="14" spans="1:17" x14ac:dyDescent="0.3">
      <c r="A14" s="76"/>
      <c r="B14" s="76"/>
      <c r="C14" s="249"/>
      <c r="D14" s="88"/>
      <c r="E14" s="85"/>
      <c r="F14" s="250"/>
      <c r="G14" s="250"/>
      <c r="H14" s="251"/>
      <c r="I14" s="252"/>
      <c r="J14" s="85"/>
      <c r="K14" s="76"/>
      <c r="L14" s="76"/>
      <c r="M14" s="78"/>
      <c r="N14" s="76"/>
      <c r="O14" s="76"/>
      <c r="P14" s="76"/>
      <c r="Q14" s="76"/>
    </row>
    <row r="15" spans="1:17" ht="15" customHeight="1" x14ac:dyDescent="0.3">
      <c r="A15" s="76"/>
      <c r="B15" s="143" t="s">
        <v>110</v>
      </c>
      <c r="C15" s="143"/>
      <c r="D15" s="253" t="s">
        <v>102</v>
      </c>
      <c r="E15" s="254"/>
      <c r="F15" s="385">
        <f>SUM(Pricelink!H28)</f>
        <v>8994468.8000000007</v>
      </c>
      <c r="G15" s="385"/>
      <c r="H15" s="385"/>
      <c r="I15" s="386"/>
      <c r="J15" s="85"/>
      <c r="K15" s="387" t="s">
        <v>111</v>
      </c>
      <c r="L15" s="387"/>
      <c r="M15" s="388" t="s">
        <v>112</v>
      </c>
      <c r="N15" s="387" t="s">
        <v>113</v>
      </c>
      <c r="O15" s="387"/>
      <c r="P15" s="389" t="s">
        <v>114</v>
      </c>
      <c r="Q15" s="390"/>
    </row>
    <row r="16" spans="1:17" x14ac:dyDescent="0.3">
      <c r="A16" s="76"/>
      <c r="B16" s="72" t="s">
        <v>115</v>
      </c>
      <c r="C16" s="125"/>
      <c r="D16" s="255" t="s">
        <v>102</v>
      </c>
      <c r="E16" s="256"/>
      <c r="F16" s="374"/>
      <c r="G16" s="374"/>
      <c r="H16" s="374"/>
      <c r="I16" s="375"/>
      <c r="J16" s="79"/>
      <c r="K16" s="387"/>
      <c r="L16" s="387"/>
      <c r="M16" s="388"/>
      <c r="N16" s="387"/>
      <c r="O16" s="387"/>
      <c r="P16" s="391"/>
      <c r="Q16" s="392"/>
    </row>
    <row r="17" spans="1:50" x14ac:dyDescent="0.3">
      <c r="A17" s="76"/>
      <c r="B17" s="148" t="s">
        <v>70</v>
      </c>
      <c r="C17" s="73"/>
      <c r="D17" s="85" t="s">
        <v>102</v>
      </c>
      <c r="E17" s="254"/>
      <c r="F17" s="376">
        <f>F15-F16</f>
        <v>8994468.8000000007</v>
      </c>
      <c r="G17" s="376"/>
      <c r="H17" s="376"/>
      <c r="I17" s="377"/>
      <c r="J17" s="79"/>
      <c r="K17" s="378" t="s">
        <v>33</v>
      </c>
      <c r="L17" s="378"/>
      <c r="M17" s="257">
        <f ca="1">C2</f>
        <v>45932.593793518521</v>
      </c>
      <c r="N17" s="379">
        <f>F26</f>
        <v>50000</v>
      </c>
      <c r="O17" s="379"/>
      <c r="P17" s="380"/>
      <c r="Q17" s="381"/>
      <c r="W17" s="258">
        <f ca="1">M17</f>
        <v>45932.593793518521</v>
      </c>
      <c r="X17" s="258">
        <f ca="1">EDATE(W17,E29)</f>
        <v>46297</v>
      </c>
    </row>
    <row r="18" spans="1:50" x14ac:dyDescent="0.3">
      <c r="A18" s="76"/>
      <c r="B18" s="150"/>
      <c r="C18" s="249"/>
      <c r="D18" s="88"/>
      <c r="E18" s="79"/>
      <c r="F18" s="259"/>
      <c r="G18" s="260"/>
      <c r="H18" s="261"/>
      <c r="I18" s="261"/>
      <c r="J18" s="79"/>
      <c r="K18" s="378" t="str">
        <f t="shared" ref="K18:K63" si="1">IF(N18&gt;1,T18,0)</f>
        <v>1st EQUITY PAYMENT</v>
      </c>
      <c r="L18" s="378"/>
      <c r="M18" s="257">
        <f t="shared" ref="M18:M63" ca="1" si="2">IF(N18&gt;1,W18,"")</f>
        <v>45966</v>
      </c>
      <c r="N18" s="379">
        <f>IF(E29&gt;0,F29,"")</f>
        <v>160731.92800000004</v>
      </c>
      <c r="O18" s="379"/>
      <c r="P18" s="380"/>
      <c r="Q18" s="381"/>
      <c r="T18" s="396" t="s">
        <v>116</v>
      </c>
      <c r="U18" s="396"/>
      <c r="W18" s="257">
        <f ca="1">IF(DAY(W17)=31,Y20,AA20)</f>
        <v>45966</v>
      </c>
      <c r="Y18" s="399" t="s">
        <v>117</v>
      </c>
      <c r="Z18" s="399"/>
    </row>
    <row r="19" spans="1:50" hidden="1" x14ac:dyDescent="0.3">
      <c r="A19" s="83"/>
      <c r="B19" s="72" t="s">
        <v>118</v>
      </c>
      <c r="C19" s="125"/>
      <c r="D19" s="255" t="s">
        <v>102</v>
      </c>
      <c r="E19" s="262">
        <v>0</v>
      </c>
      <c r="F19" s="374">
        <f>E19*F17</f>
        <v>0</v>
      </c>
      <c r="G19" s="374"/>
      <c r="H19" s="374"/>
      <c r="I19" s="375"/>
      <c r="J19" s="79"/>
      <c r="K19" s="378" t="str">
        <f t="shared" si="1"/>
        <v>2nd EQUITY PAYMENT</v>
      </c>
      <c r="L19" s="378"/>
      <c r="M19" s="257">
        <f t="shared" ca="1" si="2"/>
        <v>45996</v>
      </c>
      <c r="N19" s="379">
        <f>IF(E29&gt;1,F29,0)</f>
        <v>160731.92800000004</v>
      </c>
      <c r="O19" s="379"/>
      <c r="P19" s="380"/>
      <c r="Q19" s="381"/>
      <c r="T19" s="396" t="s">
        <v>119</v>
      </c>
      <c r="U19" s="396"/>
      <c r="W19" s="257">
        <f t="shared" ref="W19:W61" ca="1" si="3">IF(AND(DAY(W18)&gt;=6,DAY(W18)&lt;=20),DATE(YEAR(W18),MONTH(W18)+1,DAY(20)),IF(AND(DAY(W18)&gt;=21,DAY(W18)&lt;=30),DATE(YEAR(W18),MONTH(W18)+1,IF(DAY(EOMONTH(W18,1))&lt;30,DAY(EOMONTH(W18,1)),DAY(30))),DATE(YEAR(W18),MONTH(W18)+1,DAY(5))))</f>
        <v>45996</v>
      </c>
      <c r="X19" s="263" t="s">
        <v>120</v>
      </c>
      <c r="Y19" s="397" t="b">
        <f ca="1">IF(DAY(W17)=31,DATE(YEAR(X17),MONTH(X17)+2,DAY(5)))</f>
        <v>0</v>
      </c>
      <c r="Z19" s="398"/>
      <c r="AA19" s="264">
        <f ca="1">IF(AND(DAY(X17)&gt;=6,DAY(X17)&lt;=20),DATE(YEAR(X17),MONTH(X17)+1,DAY(20)),IF(AND(DAY(X17)&gt;=21,DAY(X17)&lt;=31),DATE(YEAR(X17),MONTH(X17)+1,IF(DAY(EOMONTH(X17,1))&lt;30,DAY(EOMONTH(X17,1)),DAY(30))),DATE(YEAR(X17),MONTH(X17)+1,DAY(5))))</f>
        <v>46331</v>
      </c>
    </row>
    <row r="20" spans="1:50" x14ac:dyDescent="0.3">
      <c r="A20" s="246"/>
      <c r="B20" s="180" t="s">
        <v>121</v>
      </c>
      <c r="C20" s="73"/>
      <c r="D20" s="88" t="s">
        <v>102</v>
      </c>
      <c r="E20" s="155">
        <v>0.1</v>
      </c>
      <c r="F20" s="393">
        <f>E20*F15</f>
        <v>899446.88000000012</v>
      </c>
      <c r="G20" s="394"/>
      <c r="H20" s="394"/>
      <c r="I20" s="395"/>
      <c r="J20" s="79"/>
      <c r="K20" s="378" t="str">
        <f t="shared" si="1"/>
        <v>3rd EQUITY PAYMENT</v>
      </c>
      <c r="L20" s="378"/>
      <c r="M20" s="257">
        <f t="shared" ca="1" si="2"/>
        <v>46027</v>
      </c>
      <c r="N20" s="379">
        <f>IF(E29&gt;2,F29,0)</f>
        <v>160731.92800000004</v>
      </c>
      <c r="O20" s="379"/>
      <c r="P20" s="380"/>
      <c r="Q20" s="381"/>
      <c r="T20" s="396" t="s">
        <v>122</v>
      </c>
      <c r="U20" s="396"/>
      <c r="W20" s="257">
        <f t="shared" ca="1" si="3"/>
        <v>46027</v>
      </c>
      <c r="X20" s="263" t="s">
        <v>123</v>
      </c>
      <c r="Y20" s="397" t="b">
        <f ca="1">IF(DAY(W17)=31,DATE(YEAR(W17),MONTH(W17)+2,DAY(5)))</f>
        <v>0</v>
      </c>
      <c r="Z20" s="398"/>
      <c r="AA20" s="264">
        <f ca="1">IF(AND(DAY(W17)&gt;=6,DAY(W17)&lt;=20),DATE(YEAR(W17),MONTH(W17)+1,DAY(20)),IF(AND(DAY(W17)&gt;=21,DAY(W17)&lt;=30),DATE(YEAR(W17),MONTH(W17)+1,IF(DAY(EOMONTH(W17,1))&lt;31,DAY(EOMONTH(W17,1)),DAY(30))),DATE(YEAR(W17),MONTH(W17)+1,DAY(5))))</f>
        <v>45966</v>
      </c>
      <c r="AX20" s="91"/>
    </row>
    <row r="21" spans="1:50" x14ac:dyDescent="0.3">
      <c r="A21" s="76"/>
      <c r="B21" s="150"/>
      <c r="C21" s="79"/>
      <c r="D21" s="88"/>
      <c r="E21" s="85"/>
      <c r="F21" s="265"/>
      <c r="G21" s="259"/>
      <c r="H21" s="259"/>
      <c r="I21" s="259"/>
      <c r="J21" s="79"/>
      <c r="K21" s="378" t="str">
        <f t="shared" si="1"/>
        <v>4th EQUITY PAYMENT</v>
      </c>
      <c r="L21" s="378"/>
      <c r="M21" s="257">
        <f t="shared" ca="1" si="2"/>
        <v>46058</v>
      </c>
      <c r="N21" s="379">
        <f>IF(E29&gt;3,F29,0)</f>
        <v>160731.92800000004</v>
      </c>
      <c r="O21" s="379"/>
      <c r="P21" s="380"/>
      <c r="Q21" s="381"/>
      <c r="T21" s="396" t="s">
        <v>124</v>
      </c>
      <c r="U21" s="396"/>
      <c r="W21" s="257">
        <f t="shared" ca="1" si="3"/>
        <v>46058</v>
      </c>
      <c r="AX21" s="91"/>
    </row>
    <row r="22" spans="1:50" x14ac:dyDescent="0.3">
      <c r="A22" s="76"/>
      <c r="B22" s="148" t="s">
        <v>32</v>
      </c>
      <c r="C22" s="73"/>
      <c r="D22" s="85" t="s">
        <v>102</v>
      </c>
      <c r="E22" s="266"/>
      <c r="F22" s="400">
        <f>F17+F19+F20</f>
        <v>9893915.6800000016</v>
      </c>
      <c r="G22" s="401"/>
      <c r="H22" s="401"/>
      <c r="I22" s="402"/>
      <c r="J22" s="79"/>
      <c r="K22" s="378" t="str">
        <f t="shared" si="1"/>
        <v>5th EQUITY PAYMENT</v>
      </c>
      <c r="L22" s="378"/>
      <c r="M22" s="257">
        <f t="shared" ca="1" si="2"/>
        <v>46086</v>
      </c>
      <c r="N22" s="379">
        <f>IF(E29&gt;4,F29,0)</f>
        <v>160731.92800000004</v>
      </c>
      <c r="O22" s="379"/>
      <c r="P22" s="380"/>
      <c r="Q22" s="381"/>
      <c r="T22" s="396" t="s">
        <v>125</v>
      </c>
      <c r="U22" s="396"/>
      <c r="W22" s="257">
        <f t="shared" ca="1" si="3"/>
        <v>46086</v>
      </c>
      <c r="AX22" s="91"/>
    </row>
    <row r="23" spans="1:50" x14ac:dyDescent="0.3">
      <c r="A23" s="76"/>
      <c r="B23" s="150"/>
      <c r="C23" s="79"/>
      <c r="D23" s="88"/>
      <c r="E23" s="85"/>
      <c r="F23" s="259"/>
      <c r="G23" s="267"/>
      <c r="H23" s="267"/>
      <c r="I23" s="267"/>
      <c r="J23" s="79"/>
      <c r="K23" s="378" t="str">
        <f t="shared" si="1"/>
        <v>6th EQUITY PAYMENT</v>
      </c>
      <c r="L23" s="378"/>
      <c r="M23" s="257">
        <f t="shared" ca="1" si="2"/>
        <v>46117</v>
      </c>
      <c r="N23" s="379">
        <f>IF(E29&gt;5,F29,0)</f>
        <v>160731.92800000004</v>
      </c>
      <c r="O23" s="379"/>
      <c r="P23" s="380"/>
      <c r="Q23" s="381"/>
      <c r="T23" s="396" t="s">
        <v>126</v>
      </c>
      <c r="U23" s="396"/>
      <c r="W23" s="257">
        <f t="shared" ca="1" si="3"/>
        <v>46117</v>
      </c>
      <c r="AX23" s="91"/>
    </row>
    <row r="24" spans="1:50" x14ac:dyDescent="0.3">
      <c r="A24" s="76"/>
      <c r="B24" s="143" t="s">
        <v>127</v>
      </c>
      <c r="C24" s="71"/>
      <c r="D24" s="253" t="s">
        <v>102</v>
      </c>
      <c r="E24" s="268">
        <f>IF([3]FORM!I26="",[3]FORM!I24,[3]FORM!I26)</f>
        <v>0.2</v>
      </c>
      <c r="F24" s="400">
        <f>F22*E24</f>
        <v>1978783.1360000004</v>
      </c>
      <c r="G24" s="401"/>
      <c r="H24" s="401"/>
      <c r="I24" s="402"/>
      <c r="J24" s="79"/>
      <c r="K24" s="378" t="str">
        <f t="shared" si="1"/>
        <v>7th EQUITY PAYMENT</v>
      </c>
      <c r="L24" s="378"/>
      <c r="M24" s="257">
        <f t="shared" ca="1" si="2"/>
        <v>46147</v>
      </c>
      <c r="N24" s="379">
        <f>IF(E29&gt;6,F29,0)</f>
        <v>160731.92800000004</v>
      </c>
      <c r="O24" s="379"/>
      <c r="P24" s="380"/>
      <c r="Q24" s="381"/>
      <c r="T24" s="396" t="s">
        <v>128</v>
      </c>
      <c r="U24" s="396"/>
      <c r="W24" s="257">
        <f t="shared" ca="1" si="3"/>
        <v>46147</v>
      </c>
      <c r="AX24" s="91"/>
    </row>
    <row r="25" spans="1:50" x14ac:dyDescent="0.3">
      <c r="A25" s="76"/>
      <c r="B25" s="403" t="s">
        <v>129</v>
      </c>
      <c r="C25" s="403"/>
      <c r="D25" s="255" t="str">
        <f>D24</f>
        <v>:</v>
      </c>
      <c r="E25" s="269"/>
      <c r="F25" s="270">
        <v>0</v>
      </c>
      <c r="G25" s="270"/>
      <c r="H25" s="404"/>
      <c r="I25" s="405"/>
      <c r="J25" s="79"/>
      <c r="K25" s="378" t="str">
        <f t="shared" si="1"/>
        <v>8th EQUITY PAYMENT</v>
      </c>
      <c r="L25" s="378"/>
      <c r="M25" s="257">
        <f t="shared" ca="1" si="2"/>
        <v>46178</v>
      </c>
      <c r="N25" s="379">
        <f>IF(E29&gt;7,F29,0)</f>
        <v>160731.92800000004</v>
      </c>
      <c r="O25" s="379"/>
      <c r="P25" s="380"/>
      <c r="Q25" s="381"/>
      <c r="T25" s="396" t="s">
        <v>130</v>
      </c>
      <c r="U25" s="396"/>
      <c r="W25" s="257">
        <f t="shared" ca="1" si="3"/>
        <v>46178</v>
      </c>
      <c r="AX25" s="91"/>
    </row>
    <row r="26" spans="1:50" x14ac:dyDescent="0.3">
      <c r="A26" s="83"/>
      <c r="B26" s="126" t="s">
        <v>131</v>
      </c>
      <c r="C26" s="125"/>
      <c r="D26" s="88" t="s">
        <v>102</v>
      </c>
      <c r="E26" s="271"/>
      <c r="F26" s="272">
        <v>50000</v>
      </c>
      <c r="G26" s="273"/>
      <c r="H26" s="274"/>
      <c r="I26" s="275"/>
      <c r="J26" s="79"/>
      <c r="K26" s="378" t="str">
        <f t="shared" si="1"/>
        <v>9th EQUITY PAYMENT</v>
      </c>
      <c r="L26" s="378"/>
      <c r="M26" s="257">
        <f t="shared" ca="1" si="2"/>
        <v>46208</v>
      </c>
      <c r="N26" s="379">
        <f>IF(E29&gt;8,F29,0)</f>
        <v>160731.92800000004</v>
      </c>
      <c r="O26" s="379"/>
      <c r="P26" s="380"/>
      <c r="Q26" s="381"/>
      <c r="T26" s="396" t="s">
        <v>132</v>
      </c>
      <c r="U26" s="396"/>
      <c r="W26" s="257">
        <f t="shared" ca="1" si="3"/>
        <v>46208</v>
      </c>
      <c r="AX26" s="91"/>
    </row>
    <row r="27" spans="1:50" x14ac:dyDescent="0.3">
      <c r="A27" s="76"/>
      <c r="B27" s="148" t="s">
        <v>133</v>
      </c>
      <c r="C27" s="200"/>
      <c r="D27" s="85" t="s">
        <v>102</v>
      </c>
      <c r="E27" s="271"/>
      <c r="F27" s="400">
        <f>F24-F25-F26</f>
        <v>1928783.1360000004</v>
      </c>
      <c r="G27" s="401"/>
      <c r="H27" s="401"/>
      <c r="I27" s="402"/>
      <c r="J27" s="79"/>
      <c r="K27" s="378" t="str">
        <f t="shared" si="1"/>
        <v>10th EQUITY PAYMENT</v>
      </c>
      <c r="L27" s="378"/>
      <c r="M27" s="257">
        <f t="shared" ca="1" si="2"/>
        <v>46239</v>
      </c>
      <c r="N27" s="379">
        <f>IF(E29&gt;9,F29,0)</f>
        <v>160731.92800000004</v>
      </c>
      <c r="O27" s="379"/>
      <c r="P27" s="380"/>
      <c r="Q27" s="381"/>
      <c r="T27" s="396" t="s">
        <v>134</v>
      </c>
      <c r="U27" s="396"/>
      <c r="W27" s="257">
        <f t="shared" ca="1" si="3"/>
        <v>46239</v>
      </c>
      <c r="AX27" s="91"/>
    </row>
    <row r="28" spans="1:50" x14ac:dyDescent="0.3">
      <c r="A28" s="76"/>
      <c r="B28" s="150"/>
      <c r="C28" s="79"/>
      <c r="D28" s="88"/>
      <c r="E28" s="85"/>
      <c r="F28" s="259"/>
      <c r="G28" s="267"/>
      <c r="H28" s="267"/>
      <c r="I28" s="267"/>
      <c r="J28" s="79"/>
      <c r="K28" s="378" t="str">
        <f t="shared" si="1"/>
        <v>11th EQUITY PAYMENT</v>
      </c>
      <c r="L28" s="378"/>
      <c r="M28" s="257">
        <f t="shared" ca="1" si="2"/>
        <v>46270</v>
      </c>
      <c r="N28" s="379">
        <f>IF(E29&gt;10,F29,0)</f>
        <v>160731.92800000004</v>
      </c>
      <c r="O28" s="379"/>
      <c r="P28" s="380"/>
      <c r="Q28" s="381"/>
      <c r="T28" s="396" t="s">
        <v>135</v>
      </c>
      <c r="U28" s="396"/>
      <c r="W28" s="257">
        <f t="shared" ca="1" si="3"/>
        <v>46270</v>
      </c>
      <c r="AX28" s="91"/>
    </row>
    <row r="29" spans="1:50" x14ac:dyDescent="0.3">
      <c r="A29" s="276"/>
      <c r="B29" s="406" t="s">
        <v>136</v>
      </c>
      <c r="C29" s="406"/>
      <c r="D29" s="85" t="s">
        <v>102</v>
      </c>
      <c r="E29" s="277">
        <f>Pricelink!N28</f>
        <v>12</v>
      </c>
      <c r="F29" s="400">
        <f>F27/E29</f>
        <v>160731.92800000004</v>
      </c>
      <c r="G29" s="401"/>
      <c r="H29" s="401"/>
      <c r="I29" s="402"/>
      <c r="J29" s="79"/>
      <c r="K29" s="378" t="str">
        <f t="shared" si="1"/>
        <v>12th EQUITY PAYMENT</v>
      </c>
      <c r="L29" s="378"/>
      <c r="M29" s="257">
        <f t="shared" ca="1" si="2"/>
        <v>46300</v>
      </c>
      <c r="N29" s="407">
        <f>IF(E29&gt;11,F29,0)</f>
        <v>160731.92800000004</v>
      </c>
      <c r="O29" s="407"/>
      <c r="P29" s="380"/>
      <c r="Q29" s="381"/>
      <c r="T29" s="396" t="s">
        <v>137</v>
      </c>
      <c r="U29" s="396"/>
      <c r="W29" s="257">
        <f t="shared" ca="1" si="3"/>
        <v>46300</v>
      </c>
      <c r="AX29" s="91"/>
    </row>
    <row r="30" spans="1:50" x14ac:dyDescent="0.3">
      <c r="A30" s="76"/>
      <c r="B30" s="76"/>
      <c r="C30" s="249"/>
      <c r="D30" s="88"/>
      <c r="E30" s="278"/>
      <c r="F30" s="259"/>
      <c r="G30" s="259"/>
      <c r="H30" s="259"/>
      <c r="I30" s="259"/>
      <c r="J30" s="79"/>
      <c r="K30" s="408">
        <f t="shared" si="1"/>
        <v>0</v>
      </c>
      <c r="L30" s="408"/>
      <c r="M30" s="257" t="str">
        <f t="shared" si="2"/>
        <v/>
      </c>
      <c r="N30" s="409">
        <f t="shared" ref="N30:N31" si="4">IF(E30&gt;11,F30,0)</f>
        <v>0</v>
      </c>
      <c r="O30" s="409"/>
      <c r="P30" s="380"/>
      <c r="Q30" s="381"/>
      <c r="T30" s="396" t="s">
        <v>138</v>
      </c>
      <c r="U30" s="396"/>
      <c r="W30" s="257">
        <f t="shared" ca="1" si="3"/>
        <v>46331</v>
      </c>
      <c r="AX30" s="91"/>
    </row>
    <row r="31" spans="1:50" x14ac:dyDescent="0.3">
      <c r="A31" s="76"/>
      <c r="B31" s="148" t="s">
        <v>139</v>
      </c>
      <c r="C31" s="148"/>
      <c r="D31" s="85" t="s">
        <v>102</v>
      </c>
      <c r="E31" s="279">
        <f>100%-E24</f>
        <v>0.8</v>
      </c>
      <c r="F31" s="400">
        <f>F22*E31</f>
        <v>7915132.5440000016</v>
      </c>
      <c r="G31" s="401"/>
      <c r="H31" s="401"/>
      <c r="I31" s="402"/>
      <c r="J31" s="79"/>
      <c r="K31" s="408">
        <f t="shared" si="1"/>
        <v>0</v>
      </c>
      <c r="L31" s="408"/>
      <c r="M31" s="257" t="str">
        <f t="shared" si="2"/>
        <v/>
      </c>
      <c r="N31" s="409">
        <f t="shared" si="4"/>
        <v>0</v>
      </c>
      <c r="O31" s="409"/>
      <c r="P31" s="380"/>
      <c r="Q31" s="381"/>
      <c r="T31" s="396" t="s">
        <v>140</v>
      </c>
      <c r="U31" s="396"/>
      <c r="W31" s="257">
        <f t="shared" ca="1" si="3"/>
        <v>46361</v>
      </c>
      <c r="AX31" s="91"/>
    </row>
    <row r="32" spans="1:50" x14ac:dyDescent="0.3">
      <c r="A32" s="76"/>
      <c r="B32" s="76"/>
      <c r="C32" s="249"/>
      <c r="D32" s="278"/>
      <c r="E32" s="278"/>
      <c r="F32" s="278"/>
      <c r="G32" s="280"/>
      <c r="H32" s="280"/>
      <c r="I32" s="280"/>
      <c r="J32" s="170"/>
      <c r="K32" s="408">
        <f t="shared" si="1"/>
        <v>0</v>
      </c>
      <c r="L32" s="408"/>
      <c r="M32" s="327" t="str">
        <f t="shared" si="2"/>
        <v/>
      </c>
      <c r="N32" s="409">
        <f>IF(E29&gt;14,F29,0)</f>
        <v>0</v>
      </c>
      <c r="O32" s="409"/>
      <c r="P32" s="380"/>
      <c r="Q32" s="381"/>
      <c r="T32" s="396" t="s">
        <v>141</v>
      </c>
      <c r="U32" s="396"/>
      <c r="W32" s="257">
        <f t="shared" ca="1" si="3"/>
        <v>46392</v>
      </c>
      <c r="AX32" s="91"/>
    </row>
    <row r="33" spans="1:49" s="91" customFormat="1" x14ac:dyDescent="0.3">
      <c r="A33" s="76"/>
      <c r="B33" s="73" t="s">
        <v>142</v>
      </c>
      <c r="C33" s="180"/>
      <c r="D33" s="137"/>
      <c r="E33" s="281"/>
      <c r="F33" s="278"/>
      <c r="G33" s="280"/>
      <c r="H33" s="280"/>
      <c r="I33" s="280"/>
      <c r="J33" s="85"/>
      <c r="K33" s="408">
        <f t="shared" si="1"/>
        <v>0</v>
      </c>
      <c r="L33" s="408"/>
      <c r="M33" s="327" t="str">
        <f t="shared" si="2"/>
        <v/>
      </c>
      <c r="N33" s="409">
        <f>IF(E29&gt;15,F29,0)</f>
        <v>0</v>
      </c>
      <c r="O33" s="409"/>
      <c r="P33" s="380"/>
      <c r="Q33" s="381"/>
      <c r="T33" s="396" t="s">
        <v>143</v>
      </c>
      <c r="U33" s="396"/>
      <c r="W33" s="257">
        <f t="shared" ca="1" si="3"/>
        <v>46423</v>
      </c>
      <c r="AJ33" s="234"/>
      <c r="AW33" s="235"/>
    </row>
    <row r="34" spans="1:49" s="91" customFormat="1" x14ac:dyDescent="0.3">
      <c r="A34" s="76"/>
      <c r="B34" s="76"/>
      <c r="C34" s="249"/>
      <c r="D34" s="249"/>
      <c r="E34" s="282"/>
      <c r="F34" s="214"/>
      <c r="G34" s="214"/>
      <c r="H34" s="214"/>
      <c r="I34" s="214"/>
      <c r="J34" s="249"/>
      <c r="K34" s="408">
        <f t="shared" si="1"/>
        <v>0</v>
      </c>
      <c r="L34" s="408"/>
      <c r="M34" s="327" t="str">
        <f t="shared" si="2"/>
        <v/>
      </c>
      <c r="N34" s="409">
        <f>IF(E29&gt;16,F29,0)</f>
        <v>0</v>
      </c>
      <c r="O34" s="409"/>
      <c r="P34" s="380"/>
      <c r="Q34" s="381"/>
      <c r="T34" s="396" t="s">
        <v>144</v>
      </c>
      <c r="U34" s="396"/>
      <c r="W34" s="257">
        <f t="shared" ca="1" si="3"/>
        <v>46451</v>
      </c>
      <c r="AJ34" s="234"/>
      <c r="AW34" s="235"/>
    </row>
    <row r="35" spans="1:49" s="91" customFormat="1" x14ac:dyDescent="0.3">
      <c r="A35" s="76"/>
      <c r="B35" s="217" t="s">
        <v>145</v>
      </c>
      <c r="C35" s="217" t="s">
        <v>146</v>
      </c>
      <c r="D35" s="217" t="s">
        <v>147</v>
      </c>
      <c r="E35" s="217" t="s">
        <v>148</v>
      </c>
      <c r="F35" s="387" t="s">
        <v>149</v>
      </c>
      <c r="G35" s="387"/>
      <c r="H35" s="387"/>
      <c r="I35" s="387"/>
      <c r="J35" s="79"/>
      <c r="K35" s="408">
        <f t="shared" si="1"/>
        <v>0</v>
      </c>
      <c r="L35" s="408"/>
      <c r="M35" s="327" t="str">
        <f t="shared" si="2"/>
        <v/>
      </c>
      <c r="N35" s="409">
        <f>IF(E29&gt;17,F29,0)</f>
        <v>0</v>
      </c>
      <c r="O35" s="409"/>
      <c r="P35" s="380"/>
      <c r="Q35" s="381"/>
      <c r="T35" s="396" t="s">
        <v>150</v>
      </c>
      <c r="U35" s="396"/>
      <c r="W35" s="257">
        <f t="shared" ca="1" si="3"/>
        <v>46482</v>
      </c>
      <c r="AJ35" s="234"/>
      <c r="AW35" s="235"/>
    </row>
    <row r="36" spans="1:49" s="91" customFormat="1" x14ac:dyDescent="0.3">
      <c r="A36" s="76"/>
      <c r="B36" s="218">
        <v>5</v>
      </c>
      <c r="C36" s="219">
        <v>0.08</v>
      </c>
      <c r="D36" s="220">
        <f>PMT(C36/12,B36*12,-1)</f>
        <v>2.0276394288413678E-2</v>
      </c>
      <c r="E36" s="221">
        <f>F31*D36</f>
        <v>160490.34830719884</v>
      </c>
      <c r="F36" s="379">
        <f>E36/0.3</f>
        <v>534967.82769066282</v>
      </c>
      <c r="G36" s="379"/>
      <c r="H36" s="379"/>
      <c r="I36" s="379"/>
      <c r="J36" s="79"/>
      <c r="K36" s="408">
        <f t="shared" si="1"/>
        <v>0</v>
      </c>
      <c r="L36" s="408"/>
      <c r="M36" s="327" t="str">
        <f t="shared" si="2"/>
        <v/>
      </c>
      <c r="N36" s="409">
        <f>IF(E29&gt;18,F29,0)</f>
        <v>0</v>
      </c>
      <c r="O36" s="409"/>
      <c r="P36" s="380"/>
      <c r="Q36" s="381"/>
      <c r="T36" s="396" t="s">
        <v>151</v>
      </c>
      <c r="U36" s="396"/>
      <c r="W36" s="257">
        <f t="shared" ca="1" si="3"/>
        <v>46512</v>
      </c>
      <c r="AJ36" s="234"/>
      <c r="AW36" s="235"/>
    </row>
    <row r="37" spans="1:49" s="91" customFormat="1" x14ac:dyDescent="0.3">
      <c r="A37" s="76"/>
      <c r="B37" s="218">
        <v>10</v>
      </c>
      <c r="C37" s="219">
        <v>0.08</v>
      </c>
      <c r="D37" s="220">
        <f>PMT(C37/12,B37*12,-1)</f>
        <v>1.2132759435535692E-2</v>
      </c>
      <c r="E37" s="221">
        <f>F31*D37</f>
        <v>96032.39905673165</v>
      </c>
      <c r="F37" s="379">
        <f t="shared" ref="F37" si="5">E37/0.3</f>
        <v>320107.99685577216</v>
      </c>
      <c r="G37" s="379"/>
      <c r="H37" s="379"/>
      <c r="I37" s="379"/>
      <c r="J37" s="79"/>
      <c r="K37" s="408">
        <f t="shared" si="1"/>
        <v>0</v>
      </c>
      <c r="L37" s="408"/>
      <c r="M37" s="327" t="str">
        <f t="shared" si="2"/>
        <v/>
      </c>
      <c r="N37" s="409">
        <f>IF(E29&gt;19,F29,0)</f>
        <v>0</v>
      </c>
      <c r="O37" s="409"/>
      <c r="P37" s="380"/>
      <c r="Q37" s="381"/>
      <c r="T37" s="396" t="s">
        <v>152</v>
      </c>
      <c r="U37" s="396"/>
      <c r="W37" s="257">
        <f t="shared" ca="1" si="3"/>
        <v>46543</v>
      </c>
      <c r="AJ37" s="234"/>
      <c r="AW37" s="235"/>
    </row>
    <row r="38" spans="1:49" s="91" customFormat="1" x14ac:dyDescent="0.3">
      <c r="A38" s="76"/>
      <c r="B38" s="218">
        <v>15</v>
      </c>
      <c r="C38" s="219">
        <v>0.08</v>
      </c>
      <c r="D38" s="220">
        <f t="shared" ref="D38" si="6">PMT(C38/12,B38*12,-1)</f>
        <v>9.5565208433035145E-3</v>
      </c>
      <c r="E38" s="221">
        <f>F31*D38</f>
        <v>75641.129134245988</v>
      </c>
      <c r="F38" s="379">
        <f>E38/0.3</f>
        <v>252137.09711415329</v>
      </c>
      <c r="G38" s="379"/>
      <c r="H38" s="379"/>
      <c r="I38" s="379"/>
      <c r="J38" s="79"/>
      <c r="K38" s="408">
        <f t="shared" si="1"/>
        <v>0</v>
      </c>
      <c r="L38" s="408"/>
      <c r="M38" s="327" t="str">
        <f t="shared" si="2"/>
        <v/>
      </c>
      <c r="N38" s="409">
        <f>IF(E29&gt;20,F29,0)</f>
        <v>0</v>
      </c>
      <c r="O38" s="409"/>
      <c r="P38" s="380"/>
      <c r="Q38" s="381"/>
      <c r="T38" s="396" t="s">
        <v>153</v>
      </c>
      <c r="U38" s="396"/>
      <c r="W38" s="257">
        <f t="shared" ca="1" si="3"/>
        <v>46573</v>
      </c>
      <c r="AJ38" s="234"/>
      <c r="AW38" s="235"/>
    </row>
    <row r="39" spans="1:49" s="91" customFormat="1" x14ac:dyDescent="0.3">
      <c r="A39" s="76"/>
      <c r="B39" s="223" t="s">
        <v>154</v>
      </c>
      <c r="C39" s="283"/>
      <c r="D39" s="284"/>
      <c r="E39" s="285"/>
      <c r="F39" s="410"/>
      <c r="G39" s="410"/>
      <c r="H39" s="286"/>
      <c r="I39" s="76"/>
      <c r="J39" s="79"/>
      <c r="K39" s="408">
        <f t="shared" si="1"/>
        <v>0</v>
      </c>
      <c r="L39" s="408"/>
      <c r="M39" s="327" t="str">
        <f t="shared" si="2"/>
        <v/>
      </c>
      <c r="N39" s="409">
        <f>IF(E29&gt;21,F29,0)</f>
        <v>0</v>
      </c>
      <c r="O39" s="409"/>
      <c r="P39" s="380"/>
      <c r="Q39" s="381"/>
      <c r="T39" s="396" t="s">
        <v>155</v>
      </c>
      <c r="U39" s="396"/>
      <c r="W39" s="257">
        <f t="shared" ca="1" si="3"/>
        <v>46604</v>
      </c>
      <c r="AJ39" s="234"/>
      <c r="AW39" s="235"/>
    </row>
    <row r="40" spans="1:49" s="91" customFormat="1" x14ac:dyDescent="0.3">
      <c r="A40" s="76"/>
      <c r="B40" s="223" t="s">
        <v>156</v>
      </c>
      <c r="C40" s="225"/>
      <c r="D40" s="88"/>
      <c r="E40" s="76"/>
      <c r="F40" s="76"/>
      <c r="G40" s="76"/>
      <c r="H40" s="76"/>
      <c r="I40" s="76"/>
      <c r="J40" s="79"/>
      <c r="K40" s="408">
        <f t="shared" si="1"/>
        <v>0</v>
      </c>
      <c r="L40" s="408"/>
      <c r="M40" s="327" t="str">
        <f t="shared" si="2"/>
        <v/>
      </c>
      <c r="N40" s="409">
        <f>IF(E29&gt;22,F29,0)</f>
        <v>0</v>
      </c>
      <c r="O40" s="409"/>
      <c r="P40" s="380"/>
      <c r="Q40" s="381"/>
      <c r="T40" s="396" t="s">
        <v>157</v>
      </c>
      <c r="U40" s="396"/>
      <c r="W40" s="257">
        <f t="shared" ca="1" si="3"/>
        <v>46635</v>
      </c>
      <c r="AJ40" s="234"/>
      <c r="AN40" s="287">
        <v>3128865.99</v>
      </c>
      <c r="AW40" s="235"/>
    </row>
    <row r="41" spans="1:49" s="91" customFormat="1" x14ac:dyDescent="0.3">
      <c r="A41" s="76"/>
      <c r="B41" s="224" t="s">
        <v>158</v>
      </c>
      <c r="C41" s="76"/>
      <c r="D41" s="88"/>
      <c r="E41" s="76"/>
      <c r="F41" s="76"/>
      <c r="G41" s="76"/>
      <c r="H41" s="76"/>
      <c r="I41" s="76"/>
      <c r="J41" s="79"/>
      <c r="K41" s="408">
        <f t="shared" si="1"/>
        <v>0</v>
      </c>
      <c r="L41" s="408"/>
      <c r="M41" s="327" t="str">
        <f t="shared" si="2"/>
        <v/>
      </c>
      <c r="N41" s="409">
        <f>IF(E29&gt;24,F29,0)</f>
        <v>0</v>
      </c>
      <c r="O41" s="409"/>
      <c r="P41" s="380"/>
      <c r="Q41" s="381"/>
      <c r="T41" s="396" t="s">
        <v>159</v>
      </c>
      <c r="U41" s="396"/>
      <c r="W41" s="257">
        <f t="shared" ca="1" si="3"/>
        <v>46665</v>
      </c>
      <c r="AJ41" s="234"/>
      <c r="AW41" s="235"/>
    </row>
    <row r="42" spans="1:49" s="91" customFormat="1" x14ac:dyDescent="0.3">
      <c r="A42" s="76"/>
      <c r="B42" s="224" t="s">
        <v>160</v>
      </c>
      <c r="C42" s="225"/>
      <c r="D42" s="88"/>
      <c r="E42" s="76"/>
      <c r="F42" s="76"/>
      <c r="G42" s="76"/>
      <c r="H42" s="76"/>
      <c r="I42" s="76"/>
      <c r="J42" s="85"/>
      <c r="K42" s="408">
        <f t="shared" si="1"/>
        <v>0</v>
      </c>
      <c r="L42" s="408"/>
      <c r="M42" s="327" t="str">
        <f t="shared" si="2"/>
        <v/>
      </c>
      <c r="N42" s="409">
        <f>IF(E29&gt;24,F29,0)</f>
        <v>0</v>
      </c>
      <c r="O42" s="409"/>
      <c r="P42" s="380"/>
      <c r="Q42" s="381"/>
      <c r="T42" s="396" t="s">
        <v>161</v>
      </c>
      <c r="U42" s="396"/>
      <c r="W42" s="257">
        <f t="shared" ca="1" si="3"/>
        <v>46696</v>
      </c>
      <c r="AJ42" s="234"/>
      <c r="AW42" s="235"/>
    </row>
    <row r="43" spans="1:49" s="91" customFormat="1" hidden="1" x14ac:dyDescent="0.3">
      <c r="A43" s="76"/>
      <c r="B43" s="223"/>
      <c r="C43" s="76"/>
      <c r="D43" s="76"/>
      <c r="E43" s="76"/>
      <c r="F43" s="76"/>
      <c r="G43" s="76"/>
      <c r="H43" s="76"/>
      <c r="I43" s="76"/>
      <c r="J43" s="88"/>
      <c r="K43" s="378">
        <f t="shared" si="1"/>
        <v>0</v>
      </c>
      <c r="L43" s="378"/>
      <c r="M43" s="257" t="str">
        <f t="shared" si="2"/>
        <v/>
      </c>
      <c r="N43" s="407">
        <f>IF(E29&gt;25,F29,0)</f>
        <v>0</v>
      </c>
      <c r="O43" s="407"/>
      <c r="P43" s="380"/>
      <c r="Q43" s="381"/>
      <c r="T43" s="396" t="s">
        <v>162</v>
      </c>
      <c r="U43" s="396"/>
      <c r="W43" s="257">
        <f t="shared" ca="1" si="3"/>
        <v>46726</v>
      </c>
      <c r="AJ43" s="234"/>
      <c r="AW43" s="235"/>
    </row>
    <row r="44" spans="1:49" s="91" customFormat="1" hidden="1" x14ac:dyDescent="0.3">
      <c r="A44" s="76"/>
      <c r="B44" s="164" t="s">
        <v>163</v>
      </c>
      <c r="C44" s="164"/>
      <c r="D44" s="249"/>
      <c r="E44" s="249"/>
      <c r="F44" s="249"/>
      <c r="G44" s="249"/>
      <c r="H44" s="249"/>
      <c r="I44" s="249"/>
      <c r="J44" s="88"/>
      <c r="K44" s="378">
        <f t="shared" si="1"/>
        <v>0</v>
      </c>
      <c r="L44" s="378"/>
      <c r="M44" s="257" t="str">
        <f t="shared" si="2"/>
        <v/>
      </c>
      <c r="N44" s="407">
        <f>IF(E29&gt;26,F29,0)</f>
        <v>0</v>
      </c>
      <c r="O44" s="407"/>
      <c r="P44" s="380"/>
      <c r="Q44" s="381"/>
      <c r="T44" s="396" t="s">
        <v>164</v>
      </c>
      <c r="U44" s="396"/>
      <c r="W44" s="257">
        <f t="shared" ca="1" si="3"/>
        <v>46757</v>
      </c>
      <c r="AJ44" s="234"/>
      <c r="AW44" s="235"/>
    </row>
    <row r="45" spans="1:49" s="91" customFormat="1" hidden="1" x14ac:dyDescent="0.3">
      <c r="A45" s="76"/>
      <c r="B45" s="249"/>
      <c r="C45" s="249"/>
      <c r="D45" s="249"/>
      <c r="E45" s="249"/>
      <c r="F45" s="249"/>
      <c r="G45" s="249"/>
      <c r="H45" s="249"/>
      <c r="I45" s="249"/>
      <c r="J45" s="88"/>
      <c r="K45" s="378">
        <f t="shared" si="1"/>
        <v>0</v>
      </c>
      <c r="L45" s="378"/>
      <c r="M45" s="257" t="str">
        <f t="shared" si="2"/>
        <v/>
      </c>
      <c r="N45" s="407">
        <f>IF($E$29&gt;27,$F$29,0)</f>
        <v>0</v>
      </c>
      <c r="O45" s="407"/>
      <c r="P45" s="380"/>
      <c r="Q45" s="381"/>
      <c r="T45" s="396" t="s">
        <v>165</v>
      </c>
      <c r="U45" s="396"/>
      <c r="W45" s="257">
        <f t="shared" ca="1" si="3"/>
        <v>46788</v>
      </c>
      <c r="AJ45" s="234"/>
      <c r="AW45" s="235"/>
    </row>
    <row r="46" spans="1:49" s="91" customFormat="1" hidden="1" x14ac:dyDescent="0.3">
      <c r="A46" s="76"/>
      <c r="B46" s="411"/>
      <c r="C46" s="411"/>
      <c r="D46" s="411"/>
      <c r="E46" s="411"/>
      <c r="F46" s="411"/>
      <c r="G46" s="411"/>
      <c r="H46" s="411"/>
      <c r="I46" s="411"/>
      <c r="J46" s="88"/>
      <c r="K46" s="378">
        <f t="shared" si="1"/>
        <v>0</v>
      </c>
      <c r="L46" s="378"/>
      <c r="M46" s="257" t="str">
        <f t="shared" si="2"/>
        <v/>
      </c>
      <c r="N46" s="407">
        <f>IF($E$29&gt;28,$F$29,0)</f>
        <v>0</v>
      </c>
      <c r="O46" s="407"/>
      <c r="P46" s="380"/>
      <c r="Q46" s="381"/>
      <c r="T46" s="396" t="s">
        <v>166</v>
      </c>
      <c r="U46" s="396"/>
      <c r="W46" s="257">
        <f t="shared" ca="1" si="3"/>
        <v>46817</v>
      </c>
    </row>
    <row r="47" spans="1:49" s="91" customFormat="1" hidden="1" x14ac:dyDescent="0.3">
      <c r="A47" s="76"/>
      <c r="B47" s="413"/>
      <c r="C47" s="413"/>
      <c r="D47" s="413"/>
      <c r="E47" s="413"/>
      <c r="F47" s="413"/>
      <c r="G47" s="414"/>
      <c r="H47" s="414"/>
      <c r="I47" s="414"/>
      <c r="J47" s="85"/>
      <c r="K47" s="378">
        <f t="shared" si="1"/>
        <v>0</v>
      </c>
      <c r="L47" s="378"/>
      <c r="M47" s="257" t="str">
        <f t="shared" si="2"/>
        <v/>
      </c>
      <c r="N47" s="407">
        <f>IF($E$29&gt;29,$F$29,0)</f>
        <v>0</v>
      </c>
      <c r="O47" s="407"/>
      <c r="P47" s="380"/>
      <c r="Q47" s="381"/>
      <c r="T47" s="396" t="s">
        <v>167</v>
      </c>
      <c r="U47" s="396"/>
      <c r="W47" s="257">
        <f t="shared" ca="1" si="3"/>
        <v>46848</v>
      </c>
    </row>
    <row r="48" spans="1:49" s="91" customFormat="1" ht="15" hidden="1" customHeight="1" x14ac:dyDescent="0.3">
      <c r="A48" s="76"/>
      <c r="B48" s="413"/>
      <c r="C48" s="413"/>
      <c r="D48" s="413"/>
      <c r="E48" s="413"/>
      <c r="F48" s="413"/>
      <c r="G48" s="414"/>
      <c r="H48" s="414"/>
      <c r="I48" s="414"/>
      <c r="J48" s="85"/>
      <c r="K48" s="378">
        <f t="shared" si="1"/>
        <v>0</v>
      </c>
      <c r="L48" s="378"/>
      <c r="M48" s="257" t="str">
        <f t="shared" si="2"/>
        <v/>
      </c>
      <c r="N48" s="407">
        <f>IF($E$29&gt;30,$F$29,0)</f>
        <v>0</v>
      </c>
      <c r="O48" s="407"/>
      <c r="P48" s="380"/>
      <c r="Q48" s="381"/>
      <c r="T48" s="412" t="s">
        <v>168</v>
      </c>
      <c r="U48" s="412"/>
      <c r="W48" s="257">
        <f t="shared" ca="1" si="3"/>
        <v>46878</v>
      </c>
    </row>
    <row r="49" spans="1:23" s="91" customFormat="1" hidden="1" x14ac:dyDescent="0.3">
      <c r="A49" s="76"/>
      <c r="B49" s="413"/>
      <c r="C49" s="413"/>
      <c r="D49" s="413"/>
      <c r="E49" s="413"/>
      <c r="F49" s="413"/>
      <c r="G49" s="414"/>
      <c r="H49" s="414"/>
      <c r="I49" s="414"/>
      <c r="J49" s="214"/>
      <c r="K49" s="378">
        <f t="shared" si="1"/>
        <v>0</v>
      </c>
      <c r="L49" s="378"/>
      <c r="M49" s="257" t="str">
        <f t="shared" si="2"/>
        <v/>
      </c>
      <c r="N49" s="407">
        <f>IF($E$29&gt;31,$F$29,0)</f>
        <v>0</v>
      </c>
      <c r="O49" s="407"/>
      <c r="P49" s="380"/>
      <c r="Q49" s="381"/>
      <c r="T49" s="412" t="s">
        <v>169</v>
      </c>
      <c r="U49" s="412"/>
      <c r="W49" s="257">
        <f t="shared" ca="1" si="3"/>
        <v>46909</v>
      </c>
    </row>
    <row r="50" spans="1:23" s="91" customFormat="1" ht="15" hidden="1" customHeight="1" x14ac:dyDescent="0.3">
      <c r="A50" s="76"/>
      <c r="B50" s="413"/>
      <c r="C50" s="413"/>
      <c r="D50" s="413"/>
      <c r="E50" s="413"/>
      <c r="F50" s="413"/>
      <c r="G50" s="414"/>
      <c r="H50" s="414"/>
      <c r="I50" s="414"/>
      <c r="J50" s="214"/>
      <c r="K50" s="378">
        <f t="shared" si="1"/>
        <v>0</v>
      </c>
      <c r="L50" s="378"/>
      <c r="M50" s="257" t="str">
        <f t="shared" si="2"/>
        <v/>
      </c>
      <c r="N50" s="407">
        <f>IF($E$29&gt;32,$F$29,0)</f>
        <v>0</v>
      </c>
      <c r="O50" s="407"/>
      <c r="P50" s="380"/>
      <c r="Q50" s="381"/>
      <c r="T50" s="396" t="s">
        <v>170</v>
      </c>
      <c r="U50" s="396"/>
      <c r="W50" s="257">
        <f t="shared" ca="1" si="3"/>
        <v>46939</v>
      </c>
    </row>
    <row r="51" spans="1:23" s="91" customFormat="1" hidden="1" x14ac:dyDescent="0.3">
      <c r="A51" s="76"/>
      <c r="B51" s="413"/>
      <c r="C51" s="413"/>
      <c r="D51" s="413"/>
      <c r="E51" s="413"/>
      <c r="F51" s="413"/>
      <c r="G51" s="414"/>
      <c r="H51" s="414"/>
      <c r="I51" s="414"/>
      <c r="J51" s="214"/>
      <c r="K51" s="378">
        <f t="shared" si="1"/>
        <v>0</v>
      </c>
      <c r="L51" s="378"/>
      <c r="M51" s="257" t="str">
        <f t="shared" si="2"/>
        <v/>
      </c>
      <c r="N51" s="407">
        <f>IF($E$29&gt;33,$F$29,0)</f>
        <v>0</v>
      </c>
      <c r="O51" s="407"/>
      <c r="P51" s="380"/>
      <c r="Q51" s="381"/>
      <c r="T51" s="396" t="s">
        <v>171</v>
      </c>
      <c r="U51" s="396"/>
      <c r="W51" s="257">
        <f t="shared" ca="1" si="3"/>
        <v>46970</v>
      </c>
    </row>
    <row r="52" spans="1:23" s="91" customFormat="1" ht="15" hidden="1" customHeight="1" x14ac:dyDescent="0.3">
      <c r="A52" s="76"/>
      <c r="B52" s="413"/>
      <c r="C52" s="413"/>
      <c r="D52" s="413"/>
      <c r="E52" s="413"/>
      <c r="F52" s="413"/>
      <c r="G52" s="414"/>
      <c r="H52" s="414"/>
      <c r="I52" s="414"/>
      <c r="J52" s="76"/>
      <c r="K52" s="378">
        <f t="shared" si="1"/>
        <v>0</v>
      </c>
      <c r="L52" s="378"/>
      <c r="M52" s="257" t="str">
        <f t="shared" si="2"/>
        <v/>
      </c>
      <c r="N52" s="407">
        <f>IF($E$29&gt;34,$F$29,0)</f>
        <v>0</v>
      </c>
      <c r="O52" s="407"/>
      <c r="P52" s="380"/>
      <c r="Q52" s="381"/>
      <c r="T52" s="396" t="s">
        <v>172</v>
      </c>
      <c r="U52" s="396"/>
      <c r="W52" s="257">
        <f t="shared" ca="1" si="3"/>
        <v>47001</v>
      </c>
    </row>
    <row r="53" spans="1:23" s="91" customFormat="1" hidden="1" x14ac:dyDescent="0.3">
      <c r="A53" s="76"/>
      <c r="B53" s="413"/>
      <c r="C53" s="413"/>
      <c r="D53" s="413"/>
      <c r="E53" s="413"/>
      <c r="F53" s="413"/>
      <c r="G53" s="414"/>
      <c r="H53" s="414"/>
      <c r="I53" s="414"/>
      <c r="J53" s="76"/>
      <c r="K53" s="378">
        <f t="shared" si="1"/>
        <v>0</v>
      </c>
      <c r="L53" s="378"/>
      <c r="M53" s="257" t="str">
        <f t="shared" si="2"/>
        <v/>
      </c>
      <c r="N53" s="407">
        <f>IF($E$29&gt;35,$F$29,0)</f>
        <v>0</v>
      </c>
      <c r="O53" s="407"/>
      <c r="P53" s="380"/>
      <c r="Q53" s="381"/>
      <c r="T53" s="396" t="s">
        <v>173</v>
      </c>
      <c r="U53" s="396"/>
      <c r="W53" s="257">
        <f t="shared" ca="1" si="3"/>
        <v>47031</v>
      </c>
    </row>
    <row r="54" spans="1:23" s="91" customFormat="1" ht="15" hidden="1" customHeight="1" x14ac:dyDescent="0.3">
      <c r="A54" s="76"/>
      <c r="B54" s="413"/>
      <c r="C54" s="413"/>
      <c r="D54" s="413"/>
      <c r="E54" s="413"/>
      <c r="F54" s="413"/>
      <c r="G54" s="414"/>
      <c r="H54" s="414"/>
      <c r="I54" s="414"/>
      <c r="J54" s="76"/>
      <c r="K54" s="378">
        <f t="shared" si="1"/>
        <v>0</v>
      </c>
      <c r="L54" s="378"/>
      <c r="M54" s="257" t="str">
        <f t="shared" si="2"/>
        <v/>
      </c>
      <c r="N54" s="407">
        <f>IF($E$29&gt;36,$F$29,0)</f>
        <v>0</v>
      </c>
      <c r="O54" s="407"/>
      <c r="P54" s="380"/>
      <c r="Q54" s="381"/>
      <c r="T54" s="396" t="s">
        <v>174</v>
      </c>
      <c r="U54" s="396"/>
      <c r="W54" s="257">
        <f ca="1">IF(AND(DAY(W53)&gt;=6,DAY(W53)&lt;=20),DATE(YEAR(W53),MONTH(W53)+1,DAY(20)),IF(AND(DAY(W53)&gt;=21,DAY(W53)&lt;=30),DATE(YEAR(W53),MONTH(W53)+1,IF(DAY(EOMONTH(W53,1))&lt;30,DAY(EOMONTH(W53,1)),DAY(30))),DATE(YEAR(W53),MONTH(W53)+1,DAY(5))))</f>
        <v>47062</v>
      </c>
    </row>
    <row r="55" spans="1:23" s="91" customFormat="1" hidden="1" x14ac:dyDescent="0.3">
      <c r="A55" s="76"/>
      <c r="B55" s="413"/>
      <c r="C55" s="413"/>
      <c r="D55" s="413"/>
      <c r="E55" s="413"/>
      <c r="F55" s="413"/>
      <c r="G55" s="414"/>
      <c r="H55" s="414"/>
      <c r="I55" s="414"/>
      <c r="J55" s="76"/>
      <c r="K55" s="378">
        <f t="shared" si="1"/>
        <v>0</v>
      </c>
      <c r="L55" s="378"/>
      <c r="M55" s="257" t="str">
        <f t="shared" si="2"/>
        <v/>
      </c>
      <c r="N55" s="407">
        <f>IF($E$29&gt;37,$F$29,0)</f>
        <v>0</v>
      </c>
      <c r="O55" s="407"/>
      <c r="P55" s="380"/>
      <c r="Q55" s="381"/>
      <c r="T55" s="396" t="s">
        <v>175</v>
      </c>
      <c r="U55" s="396"/>
      <c r="W55" s="257">
        <f t="shared" ca="1" si="3"/>
        <v>47092</v>
      </c>
    </row>
    <row r="56" spans="1:23" s="91" customFormat="1" ht="15" hidden="1" customHeight="1" x14ac:dyDescent="0.3">
      <c r="A56" s="76"/>
      <c r="B56" s="413"/>
      <c r="C56" s="413"/>
      <c r="D56" s="413"/>
      <c r="E56" s="413"/>
      <c r="F56" s="413"/>
      <c r="G56" s="414"/>
      <c r="H56" s="414"/>
      <c r="I56" s="414"/>
      <c r="J56" s="76"/>
      <c r="K56" s="378">
        <f t="shared" si="1"/>
        <v>0</v>
      </c>
      <c r="L56" s="378"/>
      <c r="M56" s="257" t="str">
        <f t="shared" si="2"/>
        <v/>
      </c>
      <c r="N56" s="407">
        <f>IF($E$29&gt;38,$F$29,0)</f>
        <v>0</v>
      </c>
      <c r="O56" s="407"/>
      <c r="P56" s="380"/>
      <c r="Q56" s="381"/>
      <c r="T56" s="396" t="s">
        <v>176</v>
      </c>
      <c r="U56" s="396"/>
      <c r="W56" s="257">
        <f t="shared" ca="1" si="3"/>
        <v>47123</v>
      </c>
    </row>
    <row r="57" spans="1:23" s="91" customFormat="1" hidden="1" x14ac:dyDescent="0.3">
      <c r="A57" s="76"/>
      <c r="B57" s="413"/>
      <c r="C57" s="413"/>
      <c r="D57" s="413"/>
      <c r="E57" s="413"/>
      <c r="F57" s="413"/>
      <c r="G57" s="414"/>
      <c r="H57" s="414"/>
      <c r="I57" s="414"/>
      <c r="J57" s="214"/>
      <c r="K57" s="378">
        <f t="shared" si="1"/>
        <v>0</v>
      </c>
      <c r="L57" s="378"/>
      <c r="M57" s="257" t="str">
        <f t="shared" si="2"/>
        <v/>
      </c>
      <c r="N57" s="407">
        <f>IF($E$29&gt;39,$F$29,0)</f>
        <v>0</v>
      </c>
      <c r="O57" s="407"/>
      <c r="P57" s="380"/>
      <c r="Q57" s="381"/>
      <c r="T57" s="396" t="s">
        <v>177</v>
      </c>
      <c r="U57" s="396"/>
      <c r="W57" s="257">
        <f t="shared" ca="1" si="3"/>
        <v>47154</v>
      </c>
    </row>
    <row r="58" spans="1:23" s="91" customFormat="1" ht="12.75" hidden="1" customHeight="1" x14ac:dyDescent="0.3">
      <c r="A58" s="76"/>
      <c r="B58" s="413"/>
      <c r="C58" s="413"/>
      <c r="D58" s="413"/>
      <c r="E58" s="413"/>
      <c r="F58" s="413"/>
      <c r="G58" s="414"/>
      <c r="H58" s="414"/>
      <c r="I58" s="414"/>
      <c r="J58" s="214"/>
      <c r="K58" s="378">
        <f t="shared" si="1"/>
        <v>0</v>
      </c>
      <c r="L58" s="378"/>
      <c r="M58" s="257" t="str">
        <f t="shared" si="2"/>
        <v/>
      </c>
      <c r="N58" s="407">
        <f>IF($E$29&gt;40,$F$29,0)</f>
        <v>0</v>
      </c>
      <c r="O58" s="407"/>
      <c r="P58" s="380"/>
      <c r="Q58" s="381"/>
      <c r="T58" s="396" t="s">
        <v>178</v>
      </c>
      <c r="U58" s="396"/>
      <c r="W58" s="257">
        <f t="shared" ca="1" si="3"/>
        <v>47182</v>
      </c>
    </row>
    <row r="59" spans="1:23" s="91" customFormat="1" hidden="1" x14ac:dyDescent="0.3">
      <c r="A59" s="76"/>
      <c r="B59" s="223"/>
      <c r="C59" s="76"/>
      <c r="D59" s="76"/>
      <c r="E59" s="76"/>
      <c r="F59" s="76"/>
      <c r="G59" s="76"/>
      <c r="H59" s="76"/>
      <c r="I59" s="76"/>
      <c r="J59" s="214"/>
      <c r="K59" s="378">
        <f t="shared" si="1"/>
        <v>0</v>
      </c>
      <c r="L59" s="378"/>
      <c r="M59" s="257" t="str">
        <f t="shared" si="2"/>
        <v/>
      </c>
      <c r="N59" s="407">
        <f>IF($E$29&gt;41,$F$29,0)</f>
        <v>0</v>
      </c>
      <c r="O59" s="407"/>
      <c r="P59" s="380"/>
      <c r="Q59" s="381"/>
      <c r="T59" s="396" t="s">
        <v>179</v>
      </c>
      <c r="U59" s="396"/>
      <c r="W59" s="257">
        <f t="shared" ca="1" si="3"/>
        <v>47213</v>
      </c>
    </row>
    <row r="60" spans="1:23" s="91" customFormat="1" hidden="1" x14ac:dyDescent="0.3">
      <c r="A60" s="76"/>
      <c r="C60" s="288"/>
      <c r="D60" s="417"/>
      <c r="E60" s="417"/>
      <c r="F60" s="417"/>
      <c r="G60" s="76"/>
      <c r="H60" s="76"/>
      <c r="I60" s="76"/>
      <c r="J60" s="214"/>
      <c r="K60" s="378">
        <f t="shared" si="1"/>
        <v>0</v>
      </c>
      <c r="L60" s="378"/>
      <c r="M60" s="257" t="str">
        <f t="shared" si="2"/>
        <v/>
      </c>
      <c r="N60" s="407">
        <f>IF($E$29&gt;42,$F$29,0)</f>
        <v>0</v>
      </c>
      <c r="O60" s="407"/>
      <c r="P60" s="380"/>
      <c r="Q60" s="381"/>
      <c r="T60" s="396" t="s">
        <v>180</v>
      </c>
      <c r="U60" s="396"/>
      <c r="W60" s="257">
        <f t="shared" ca="1" si="3"/>
        <v>47243</v>
      </c>
    </row>
    <row r="61" spans="1:23" s="91" customFormat="1" hidden="1" x14ac:dyDescent="0.3">
      <c r="A61" s="76"/>
      <c r="B61" s="288"/>
      <c r="C61" s="76"/>
      <c r="D61" s="289"/>
      <c r="E61" s="289"/>
      <c r="F61" s="76"/>
      <c r="G61" s="76"/>
      <c r="H61" s="76"/>
      <c r="I61" s="76"/>
      <c r="J61" s="214"/>
      <c r="K61" s="378">
        <f t="shared" si="1"/>
        <v>0</v>
      </c>
      <c r="L61" s="378"/>
      <c r="M61" s="257" t="str">
        <f t="shared" si="2"/>
        <v/>
      </c>
      <c r="N61" s="407">
        <f>IF($E$29&gt;43,$F$29,0)</f>
        <v>0</v>
      </c>
      <c r="O61" s="407"/>
      <c r="P61" s="380"/>
      <c r="Q61" s="381"/>
      <c r="T61" s="396" t="s">
        <v>181</v>
      </c>
      <c r="U61" s="396"/>
      <c r="W61" s="257">
        <f t="shared" ca="1" si="3"/>
        <v>47274</v>
      </c>
    </row>
    <row r="62" spans="1:23" s="91" customFormat="1" hidden="1" x14ac:dyDescent="0.3">
      <c r="A62" s="76"/>
      <c r="B62" s="288"/>
      <c r="C62" s="76"/>
      <c r="D62" s="289"/>
      <c r="E62" s="289"/>
      <c r="F62" s="76"/>
      <c r="G62" s="76"/>
      <c r="H62" s="76"/>
      <c r="I62" s="76"/>
      <c r="J62" s="214"/>
      <c r="K62" s="378">
        <f t="shared" si="1"/>
        <v>0</v>
      </c>
      <c r="L62" s="378"/>
      <c r="M62" s="257" t="str">
        <f t="shared" si="2"/>
        <v/>
      </c>
      <c r="N62" s="407">
        <f>IF($E$29&gt;44,$F$29,0)</f>
        <v>0</v>
      </c>
      <c r="O62" s="407"/>
      <c r="P62" s="127"/>
      <c r="Q62" s="127"/>
      <c r="T62" s="396" t="s">
        <v>182</v>
      </c>
      <c r="U62" s="396"/>
      <c r="W62" s="257">
        <f ca="1">IF(AND(DAY(W61)&gt;=6,DAY(W61)&lt;=20),DATE(YEAR(W61),MONTH(W61)+1,DAY(20)),IF(AND(DAY(W61)&gt;=21,DAY(W61)&lt;=30),DATE(YEAR(W61),MONTH(W61)+1,IF(DAY(EOMONTH(W61,1))&lt;30,DAY(EOMONTH(W61,1)),DAY(30))),DATE(YEAR(W61),MONTH(W61)+1,DAY(5))))</f>
        <v>47304</v>
      </c>
    </row>
    <row r="63" spans="1:23" s="91" customFormat="1" hidden="1" x14ac:dyDescent="0.3">
      <c r="A63" s="76"/>
      <c r="B63" s="288"/>
      <c r="C63" s="76"/>
      <c r="D63" s="289"/>
      <c r="E63" s="289"/>
      <c r="F63" s="76"/>
      <c r="G63" s="76"/>
      <c r="H63" s="76"/>
      <c r="I63" s="76"/>
      <c r="J63" s="214"/>
      <c r="K63" s="380">
        <f t="shared" si="1"/>
        <v>0</v>
      </c>
      <c r="L63" s="381"/>
      <c r="M63" s="257" t="str">
        <f t="shared" si="2"/>
        <v/>
      </c>
      <c r="N63" s="415">
        <f>IF($E$29&gt;45,$F$29,0)</f>
        <v>0</v>
      </c>
      <c r="O63" s="416"/>
      <c r="P63" s="127"/>
      <c r="Q63" s="127"/>
      <c r="T63" s="396" t="s">
        <v>183</v>
      </c>
      <c r="U63" s="396"/>
    </row>
    <row r="64" spans="1:23" s="91" customFormat="1" x14ac:dyDescent="0.3">
      <c r="A64" s="76"/>
      <c r="B64" s="288"/>
      <c r="C64" s="76"/>
      <c r="D64" s="289"/>
      <c r="E64" s="289"/>
      <c r="F64" s="76"/>
      <c r="G64" s="76"/>
      <c r="H64" s="76"/>
      <c r="I64" s="76"/>
      <c r="J64" s="214"/>
      <c r="K64" s="424" t="s">
        <v>184</v>
      </c>
      <c r="L64" s="424"/>
      <c r="M64" s="290">
        <f ca="1">IF(DAY(W17)=31,Y19,AA19)</f>
        <v>46331</v>
      </c>
      <c r="N64" s="425">
        <f>F31</f>
        <v>7915132.5440000016</v>
      </c>
      <c r="O64" s="425"/>
      <c r="P64" s="426"/>
      <c r="Q64" s="427"/>
    </row>
    <row r="65" spans="1:17" s="91" customFormat="1" x14ac:dyDescent="0.3">
      <c r="A65" s="76"/>
      <c r="B65" s="288"/>
      <c r="C65" s="76"/>
      <c r="D65" s="289"/>
      <c r="E65" s="289"/>
      <c r="F65" s="76"/>
      <c r="G65" s="76"/>
      <c r="H65" s="76"/>
      <c r="I65" s="76"/>
      <c r="J65" s="214"/>
      <c r="K65" s="428"/>
      <c r="L65" s="428"/>
      <c r="M65" s="210"/>
      <c r="N65" s="429"/>
      <c r="O65" s="429"/>
      <c r="P65" s="291"/>
      <c r="Q65" s="79"/>
    </row>
    <row r="66" spans="1:17" s="91" customFormat="1" x14ac:dyDescent="0.3">
      <c r="A66" s="76"/>
      <c r="J66" s="214"/>
      <c r="L66" s="93"/>
    </row>
    <row r="67" spans="1:17" s="91" customFormat="1" ht="12" customHeight="1" x14ac:dyDescent="0.3">
      <c r="A67" s="76"/>
      <c r="B67" s="79" t="s">
        <v>185</v>
      </c>
      <c r="C67" s="76"/>
      <c r="D67" s="76"/>
      <c r="E67" s="76"/>
      <c r="F67" s="79" t="s">
        <v>186</v>
      </c>
      <c r="G67" s="76"/>
      <c r="H67" s="76"/>
      <c r="I67" s="76"/>
      <c r="J67" s="214"/>
      <c r="K67" s="79" t="s">
        <v>185</v>
      </c>
      <c r="L67" s="76"/>
      <c r="M67" s="76"/>
      <c r="N67" s="76"/>
      <c r="O67" s="79" t="s">
        <v>186</v>
      </c>
      <c r="P67" s="76"/>
      <c r="Q67" s="76"/>
    </row>
    <row r="68" spans="1:17" s="91" customFormat="1" ht="12" customHeight="1" x14ac:dyDescent="0.3">
      <c r="A68" s="76"/>
      <c r="B68" s="76"/>
      <c r="C68" s="76"/>
      <c r="D68" s="88"/>
      <c r="E68" s="76"/>
      <c r="F68" s="76"/>
      <c r="G68" s="76"/>
      <c r="H68" s="76"/>
      <c r="I68" s="76"/>
      <c r="J68" s="214"/>
      <c r="K68" s="76"/>
      <c r="L68" s="76"/>
      <c r="M68" s="88"/>
      <c r="N68" s="76"/>
      <c r="O68" s="76"/>
      <c r="P68" s="76"/>
      <c r="Q68" s="76"/>
    </row>
    <row r="69" spans="1:17" s="91" customFormat="1" ht="12" customHeight="1" x14ac:dyDescent="0.3">
      <c r="A69" s="76"/>
      <c r="B69" s="76"/>
      <c r="C69" s="76"/>
      <c r="D69" s="88"/>
      <c r="E69" s="76"/>
      <c r="F69" s="76"/>
      <c r="G69" s="76"/>
      <c r="H69" s="76"/>
      <c r="I69" s="76"/>
      <c r="J69" s="214"/>
      <c r="K69" s="76"/>
      <c r="L69" s="76"/>
      <c r="M69" s="88"/>
      <c r="N69" s="76"/>
      <c r="O69" s="76"/>
      <c r="P69" s="76"/>
      <c r="Q69" s="76"/>
    </row>
    <row r="70" spans="1:17" s="91" customFormat="1" ht="12" customHeight="1" x14ac:dyDescent="0.3">
      <c r="A70" s="76"/>
      <c r="B70" s="420"/>
      <c r="C70" s="420"/>
      <c r="D70" s="420"/>
      <c r="E70" s="79"/>
      <c r="F70" s="292">
        <f>[3]FORM!I28</f>
        <v>0</v>
      </c>
      <c r="G70" s="292"/>
      <c r="H70" s="292"/>
      <c r="I70" s="292"/>
      <c r="J70" s="214"/>
      <c r="K70" s="420">
        <f>B70</f>
        <v>0</v>
      </c>
      <c r="L70" s="420"/>
      <c r="M70" s="420"/>
      <c r="N70" s="79"/>
      <c r="O70" s="421"/>
      <c r="P70" s="421"/>
      <c r="Q70" s="421"/>
    </row>
    <row r="71" spans="1:17" s="91" customFormat="1" ht="12" customHeight="1" x14ac:dyDescent="0.3">
      <c r="A71" s="76"/>
      <c r="B71" s="90" t="s">
        <v>187</v>
      </c>
      <c r="C71" s="293"/>
      <c r="D71" s="293"/>
      <c r="E71" s="76"/>
      <c r="F71" s="294" t="s">
        <v>188</v>
      </c>
      <c r="G71" s="294"/>
      <c r="H71" s="294"/>
      <c r="I71" s="89"/>
      <c r="J71" s="214"/>
      <c r="K71" s="90" t="s">
        <v>187</v>
      </c>
      <c r="L71" s="422"/>
      <c r="M71" s="422"/>
      <c r="N71" s="76"/>
      <c r="O71" s="423" t="s">
        <v>188</v>
      </c>
      <c r="P71" s="423"/>
      <c r="Q71" s="423"/>
    </row>
    <row r="72" spans="1:17" s="91" customFormat="1" ht="12" customHeight="1" x14ac:dyDescent="0.3">
      <c r="A72" s="76"/>
      <c r="B72" s="223"/>
      <c r="C72" s="76"/>
      <c r="D72" s="76"/>
      <c r="E72" s="76"/>
      <c r="F72" s="76"/>
      <c r="G72" s="76"/>
      <c r="H72" s="76"/>
      <c r="I72" s="76"/>
      <c r="J72" s="214"/>
    </row>
    <row r="73" spans="1:17" s="91" customFormat="1" ht="12" customHeight="1" x14ac:dyDescent="0.3">
      <c r="A73" s="76"/>
      <c r="B73" s="223"/>
      <c r="C73" s="76"/>
      <c r="D73" s="76"/>
      <c r="E73" s="76"/>
      <c r="F73" s="76"/>
      <c r="G73" s="76"/>
      <c r="H73" s="76"/>
      <c r="I73" s="76"/>
      <c r="J73" s="214"/>
      <c r="K73" s="157"/>
      <c r="L73" s="76"/>
      <c r="M73" s="78"/>
      <c r="N73" s="76"/>
      <c r="O73" s="76"/>
      <c r="P73" s="76"/>
      <c r="Q73" s="76"/>
    </row>
    <row r="74" spans="1:17" s="91" customFormat="1" ht="12" customHeight="1" x14ac:dyDescent="0.3">
      <c r="A74" s="76"/>
      <c r="B74" s="223"/>
      <c r="C74" s="76"/>
      <c r="D74" s="76"/>
      <c r="E74" s="76"/>
      <c r="F74" s="76"/>
      <c r="G74" s="76"/>
      <c r="H74" s="76"/>
      <c r="I74" s="76"/>
      <c r="J74" s="214"/>
      <c r="K74" s="157"/>
      <c r="L74" s="76"/>
      <c r="M74" s="78"/>
      <c r="N74" s="76"/>
      <c r="O74" s="76"/>
      <c r="P74" s="76"/>
      <c r="Q74" s="76"/>
    </row>
    <row r="75" spans="1:17" s="91" customFormat="1" ht="12" customHeight="1" x14ac:dyDescent="0.3">
      <c r="A75" s="76"/>
      <c r="B75" s="223"/>
      <c r="C75" s="76"/>
      <c r="D75" s="76"/>
      <c r="E75" s="76"/>
      <c r="F75" s="76"/>
      <c r="G75" s="76"/>
      <c r="H75" s="76"/>
      <c r="I75" s="76"/>
      <c r="J75" s="214"/>
      <c r="K75" s="157"/>
      <c r="L75" s="76"/>
      <c r="M75" s="78"/>
      <c r="N75" s="76"/>
      <c r="O75" s="76"/>
      <c r="P75" s="76"/>
      <c r="Q75" s="76"/>
    </row>
    <row r="76" spans="1:17" s="91" customFormat="1" ht="12" customHeight="1" x14ac:dyDescent="0.3">
      <c r="A76" s="76"/>
      <c r="B76" s="223"/>
      <c r="C76" s="76"/>
      <c r="D76" s="88"/>
      <c r="E76" s="76"/>
      <c r="F76" s="76"/>
      <c r="G76" s="76"/>
      <c r="H76" s="76"/>
      <c r="I76" s="76"/>
      <c r="J76" s="214"/>
      <c r="K76" s="157"/>
      <c r="L76" s="76"/>
      <c r="M76" s="78"/>
      <c r="N76" s="76"/>
      <c r="O76" s="76"/>
      <c r="P76" s="76"/>
      <c r="Q76" s="76"/>
    </row>
    <row r="77" spans="1:17" s="91" customFormat="1" ht="12" customHeight="1" x14ac:dyDescent="0.3">
      <c r="A77" s="76"/>
      <c r="B77" s="223"/>
      <c r="C77" s="76"/>
      <c r="D77" s="88"/>
      <c r="E77" s="76"/>
      <c r="F77" s="76"/>
      <c r="G77" s="76"/>
      <c r="H77" s="76"/>
      <c r="I77" s="76"/>
      <c r="J77" s="214"/>
      <c r="K77" s="157"/>
      <c r="L77" s="76"/>
      <c r="M77" s="78"/>
      <c r="N77" s="76"/>
      <c r="O77" s="76"/>
      <c r="P77" s="76"/>
      <c r="Q77" s="76"/>
    </row>
    <row r="78" spans="1:17" s="91" customFormat="1" ht="12" customHeight="1" x14ac:dyDescent="0.3">
      <c r="A78" s="76"/>
      <c r="B78" s="223"/>
      <c r="C78" s="76"/>
      <c r="D78" s="88"/>
      <c r="E78" s="76"/>
      <c r="F78" s="76"/>
      <c r="G78" s="76"/>
      <c r="H78" s="76"/>
      <c r="I78" s="76"/>
      <c r="J78" s="214"/>
      <c r="K78" s="157"/>
      <c r="L78" s="76"/>
      <c r="M78" s="78"/>
      <c r="N78" s="76"/>
      <c r="O78" s="76"/>
      <c r="P78" s="76"/>
      <c r="Q78" s="76"/>
    </row>
    <row r="79" spans="1:17" s="91" customFormat="1" ht="12" customHeight="1" x14ac:dyDescent="0.3">
      <c r="A79" s="76"/>
      <c r="B79" s="223"/>
      <c r="C79" s="76"/>
      <c r="D79" s="76"/>
      <c r="E79" s="76"/>
      <c r="F79" s="76"/>
      <c r="G79" s="76"/>
      <c r="H79" s="76"/>
      <c r="I79" s="76"/>
      <c r="J79" s="214"/>
      <c r="K79" s="157"/>
      <c r="L79" s="76"/>
      <c r="M79" s="78"/>
      <c r="N79" s="76"/>
      <c r="O79" s="76"/>
      <c r="P79" s="76"/>
      <c r="Q79" s="76"/>
    </row>
    <row r="80" spans="1:17" s="91" customFormat="1" ht="12" customHeight="1" x14ac:dyDescent="0.3">
      <c r="A80" s="76"/>
      <c r="B80" s="223"/>
      <c r="C80" s="76"/>
      <c r="D80" s="76"/>
      <c r="E80" s="76"/>
      <c r="F80" s="76"/>
      <c r="G80" s="76"/>
      <c r="H80" s="76"/>
      <c r="I80" s="76"/>
      <c r="J80" s="214"/>
      <c r="K80" s="157"/>
      <c r="L80" s="76"/>
      <c r="M80" s="78"/>
      <c r="N80" s="76"/>
      <c r="O80" s="76"/>
      <c r="P80" s="76"/>
      <c r="Q80" s="76"/>
    </row>
    <row r="81" spans="1:17" s="91" customFormat="1" ht="12" customHeight="1" x14ac:dyDescent="0.3">
      <c r="A81" s="76"/>
      <c r="B81" s="223"/>
      <c r="C81" s="76"/>
      <c r="D81" s="76"/>
      <c r="E81" s="76"/>
      <c r="F81" s="76"/>
      <c r="G81" s="76"/>
      <c r="H81" s="76"/>
      <c r="I81" s="76"/>
      <c r="J81" s="214"/>
      <c r="K81" s="157"/>
      <c r="L81" s="76"/>
      <c r="M81" s="78"/>
      <c r="N81" s="76"/>
      <c r="O81" s="76"/>
      <c r="P81" s="76"/>
      <c r="Q81" s="76"/>
    </row>
    <row r="82" spans="1:17" s="91" customFormat="1" ht="12" customHeight="1" x14ac:dyDescent="0.3">
      <c r="A82" s="76"/>
      <c r="B82" s="223"/>
      <c r="C82" s="76"/>
      <c r="D82" s="76"/>
      <c r="E82" s="76"/>
      <c r="F82" s="76"/>
      <c r="G82" s="76"/>
      <c r="H82" s="76"/>
      <c r="I82" s="76"/>
      <c r="J82" s="214"/>
      <c r="K82" s="157"/>
      <c r="L82" s="76"/>
      <c r="M82" s="78"/>
      <c r="N82" s="76"/>
      <c r="O82" s="76"/>
      <c r="P82" s="76"/>
      <c r="Q82" s="76"/>
    </row>
    <row r="83" spans="1:17" s="91" customFormat="1" ht="12" customHeight="1" x14ac:dyDescent="0.3">
      <c r="A83" s="76"/>
      <c r="B83" s="223"/>
      <c r="C83" s="76"/>
      <c r="D83" s="76"/>
      <c r="E83" s="76"/>
      <c r="F83" s="76"/>
      <c r="G83" s="76"/>
      <c r="H83" s="76"/>
      <c r="I83" s="76"/>
      <c r="J83" s="214"/>
      <c r="K83" s="157"/>
      <c r="L83" s="76"/>
      <c r="M83" s="78"/>
      <c r="N83" s="76"/>
      <c r="O83" s="76"/>
      <c r="P83" s="76"/>
      <c r="Q83" s="76"/>
    </row>
    <row r="84" spans="1:17" s="91" customFormat="1" ht="12" customHeight="1" x14ac:dyDescent="0.3">
      <c r="A84" s="76"/>
      <c r="B84" s="223"/>
      <c r="C84" s="76"/>
      <c r="D84" s="76"/>
      <c r="E84" s="76"/>
      <c r="F84" s="76"/>
      <c r="G84" s="76"/>
      <c r="H84" s="76"/>
      <c r="I84" s="76"/>
      <c r="J84" s="214"/>
      <c r="K84" s="157"/>
      <c r="L84" s="76"/>
      <c r="M84" s="78"/>
      <c r="N84" s="76"/>
      <c r="O84" s="76"/>
      <c r="P84" s="76"/>
      <c r="Q84" s="76"/>
    </row>
    <row r="85" spans="1:17" s="91" customFormat="1" ht="12" customHeight="1" x14ac:dyDescent="0.3">
      <c r="A85" s="76"/>
      <c r="B85" s="223"/>
      <c r="C85" s="76"/>
      <c r="D85" s="76"/>
      <c r="E85" s="76"/>
      <c r="F85" s="76"/>
      <c r="G85" s="76"/>
      <c r="H85" s="76"/>
      <c r="I85" s="76"/>
      <c r="J85" s="214"/>
      <c r="K85" s="157"/>
      <c r="L85" s="76"/>
      <c r="M85" s="78"/>
      <c r="N85" s="76"/>
      <c r="O85" s="76"/>
      <c r="P85" s="76"/>
      <c r="Q85" s="76"/>
    </row>
    <row r="86" spans="1:17" s="91" customFormat="1" ht="12" customHeight="1" x14ac:dyDescent="0.3">
      <c r="A86" s="76"/>
      <c r="B86" s="223"/>
      <c r="C86" s="76"/>
      <c r="D86" s="76"/>
      <c r="E86" s="76"/>
      <c r="F86" s="76"/>
      <c r="G86" s="76"/>
      <c r="H86" s="76"/>
      <c r="I86" s="76"/>
      <c r="J86" s="214"/>
      <c r="K86" s="157"/>
      <c r="L86" s="76"/>
      <c r="M86" s="78"/>
      <c r="N86" s="76"/>
      <c r="O86" s="76"/>
      <c r="P86" s="76"/>
      <c r="Q86" s="76"/>
    </row>
    <row r="87" spans="1:17" s="91" customFormat="1" ht="12" customHeight="1" x14ac:dyDescent="0.3">
      <c r="A87" s="76"/>
      <c r="B87" s="223"/>
      <c r="C87" s="76"/>
      <c r="D87" s="76"/>
      <c r="E87" s="76"/>
      <c r="F87" s="76"/>
      <c r="G87" s="76"/>
      <c r="H87" s="76"/>
      <c r="I87" s="76"/>
      <c r="J87" s="214"/>
      <c r="K87" s="157"/>
      <c r="L87" s="76"/>
      <c r="M87" s="78"/>
      <c r="N87" s="76"/>
      <c r="O87" s="76"/>
      <c r="P87" s="76"/>
      <c r="Q87" s="76"/>
    </row>
    <row r="88" spans="1:17" s="91" customFormat="1" x14ac:dyDescent="0.3">
      <c r="A88" s="76"/>
      <c r="B88" s="223"/>
      <c r="C88" s="76"/>
      <c r="D88" s="76"/>
      <c r="E88" s="76"/>
      <c r="F88" s="76"/>
      <c r="G88" s="76"/>
      <c r="H88" s="76"/>
      <c r="I88" s="76"/>
      <c r="J88" s="214"/>
      <c r="K88" s="157"/>
      <c r="L88" s="76"/>
      <c r="M88" s="78"/>
      <c r="N88" s="76"/>
      <c r="O88" s="76"/>
      <c r="P88" s="76"/>
      <c r="Q88" s="76"/>
    </row>
    <row r="89" spans="1:17" s="91" customFormat="1" ht="12" customHeight="1" x14ac:dyDescent="0.3">
      <c r="A89" s="76"/>
      <c r="B89" s="223"/>
      <c r="C89" s="76"/>
      <c r="D89" s="76"/>
      <c r="E89" s="76"/>
      <c r="F89" s="76"/>
      <c r="G89" s="76"/>
      <c r="H89" s="76"/>
      <c r="I89" s="76"/>
      <c r="J89" s="214"/>
      <c r="K89" s="157"/>
      <c r="L89" s="76"/>
      <c r="M89" s="78"/>
      <c r="N89" s="76"/>
      <c r="O89" s="76"/>
      <c r="P89" s="76"/>
      <c r="Q89" s="76"/>
    </row>
    <row r="90" spans="1:17" s="91" customFormat="1" ht="12" customHeight="1" x14ac:dyDescent="0.3">
      <c r="A90" s="76"/>
      <c r="B90" s="223"/>
      <c r="C90" s="76"/>
      <c r="D90" s="76"/>
      <c r="E90" s="76"/>
      <c r="F90" s="76"/>
      <c r="G90" s="76"/>
      <c r="H90" s="76"/>
      <c r="I90" s="76"/>
      <c r="J90" s="214"/>
      <c r="K90" s="157"/>
      <c r="L90" s="76"/>
      <c r="M90" s="78"/>
      <c r="N90" s="76"/>
      <c r="O90" s="76"/>
      <c r="P90" s="76"/>
      <c r="Q90" s="76"/>
    </row>
    <row r="91" spans="1:17" s="91" customFormat="1" ht="12" customHeight="1" x14ac:dyDescent="0.3">
      <c r="A91" s="76"/>
      <c r="B91" s="223"/>
      <c r="C91" s="76"/>
      <c r="D91" s="76"/>
      <c r="E91" s="76"/>
      <c r="F91" s="76"/>
      <c r="G91" s="76"/>
      <c r="H91" s="76"/>
      <c r="I91" s="76"/>
      <c r="J91" s="214"/>
      <c r="K91" s="157"/>
      <c r="L91" s="76"/>
      <c r="M91" s="78"/>
      <c r="N91" s="76"/>
      <c r="O91" s="76"/>
      <c r="P91" s="76"/>
      <c r="Q91" s="76"/>
    </row>
    <row r="92" spans="1:17" s="91" customFormat="1" ht="12" customHeight="1" x14ac:dyDescent="0.3">
      <c r="A92" s="76"/>
      <c r="B92" s="223"/>
      <c r="C92" s="76"/>
      <c r="D92" s="76"/>
      <c r="E92" s="76"/>
      <c r="F92" s="76"/>
      <c r="G92" s="76"/>
      <c r="H92" s="76"/>
      <c r="I92" s="76"/>
      <c r="J92" s="214"/>
      <c r="K92" s="157"/>
      <c r="L92" s="76"/>
      <c r="M92" s="78"/>
      <c r="N92" s="76"/>
      <c r="O92" s="76"/>
      <c r="P92" s="76"/>
      <c r="Q92" s="76"/>
    </row>
    <row r="93" spans="1:17" s="91" customFormat="1" ht="12" customHeight="1" x14ac:dyDescent="0.3">
      <c r="A93" s="76"/>
      <c r="B93" s="223"/>
      <c r="C93" s="76"/>
      <c r="D93" s="76"/>
      <c r="E93" s="76"/>
      <c r="F93" s="76"/>
      <c r="G93" s="76"/>
      <c r="H93" s="76"/>
      <c r="I93" s="76"/>
      <c r="J93" s="214"/>
      <c r="K93" s="157"/>
      <c r="L93" s="76"/>
      <c r="M93" s="78"/>
      <c r="N93" s="76"/>
      <c r="O93" s="76"/>
      <c r="P93" s="76"/>
      <c r="Q93" s="76"/>
    </row>
    <row r="94" spans="1:17" s="91" customFormat="1" ht="12" customHeight="1" x14ac:dyDescent="0.3">
      <c r="A94" s="76"/>
      <c r="B94" s="223"/>
      <c r="C94" s="76"/>
      <c r="D94" s="76"/>
      <c r="E94" s="76"/>
      <c r="F94" s="76"/>
      <c r="G94" s="76"/>
      <c r="H94" s="76"/>
      <c r="I94" s="76"/>
      <c r="J94" s="214"/>
      <c r="K94" s="157"/>
      <c r="L94" s="76"/>
      <c r="M94" s="78"/>
      <c r="N94" s="76"/>
      <c r="O94" s="76"/>
      <c r="P94" s="76"/>
      <c r="Q94" s="76"/>
    </row>
    <row r="95" spans="1:17" s="91" customFormat="1" ht="12" customHeight="1" x14ac:dyDescent="0.3">
      <c r="A95" s="76"/>
      <c r="B95" s="223"/>
      <c r="C95" s="76"/>
      <c r="D95" s="76"/>
      <c r="E95" s="76"/>
      <c r="F95" s="76"/>
      <c r="G95" s="76"/>
      <c r="H95" s="76"/>
      <c r="I95" s="76"/>
      <c r="J95" s="214"/>
      <c r="K95" s="157"/>
      <c r="L95" s="76"/>
      <c r="M95" s="78"/>
      <c r="N95" s="76"/>
      <c r="O95" s="76"/>
      <c r="P95" s="76"/>
      <c r="Q95" s="76"/>
    </row>
    <row r="96" spans="1:17" s="91" customFormat="1" ht="12" customHeight="1" x14ac:dyDescent="0.3">
      <c r="A96" s="76"/>
      <c r="B96" s="223"/>
      <c r="C96" s="76"/>
      <c r="D96" s="76"/>
      <c r="E96" s="76"/>
      <c r="F96" s="76"/>
      <c r="G96" s="76"/>
      <c r="H96" s="76"/>
      <c r="I96" s="76"/>
      <c r="J96" s="214"/>
      <c r="K96" s="157"/>
      <c r="L96" s="76"/>
      <c r="M96" s="78"/>
      <c r="N96" s="76"/>
      <c r="O96" s="76"/>
      <c r="P96" s="76"/>
      <c r="Q96" s="76"/>
    </row>
    <row r="97" spans="1:17" s="91" customFormat="1" ht="12" customHeight="1" x14ac:dyDescent="0.3">
      <c r="A97" s="76"/>
      <c r="B97" s="223"/>
      <c r="C97" s="76"/>
      <c r="D97" s="76"/>
      <c r="E97" s="76"/>
      <c r="F97" s="76"/>
      <c r="G97" s="76"/>
      <c r="H97" s="76"/>
      <c r="I97" s="76"/>
      <c r="J97" s="214"/>
      <c r="K97" s="157"/>
      <c r="L97" s="76"/>
      <c r="M97" s="78"/>
      <c r="N97" s="76"/>
      <c r="O97" s="76"/>
      <c r="P97" s="76"/>
      <c r="Q97" s="76"/>
    </row>
    <row r="98" spans="1:17" s="91" customFormat="1" ht="12" customHeight="1" x14ac:dyDescent="0.3">
      <c r="A98" s="76"/>
      <c r="B98" s="223"/>
      <c r="C98" s="76"/>
      <c r="D98" s="76"/>
      <c r="E98" s="76"/>
      <c r="F98" s="76"/>
      <c r="G98" s="76"/>
      <c r="H98" s="76"/>
      <c r="I98" s="76"/>
      <c r="J98" s="214"/>
      <c r="K98" s="157"/>
      <c r="L98" s="76"/>
      <c r="M98" s="78"/>
      <c r="N98" s="76"/>
      <c r="O98" s="76"/>
      <c r="P98" s="76"/>
      <c r="Q98" s="76"/>
    </row>
    <row r="99" spans="1:17" s="91" customFormat="1" ht="12" customHeight="1" x14ac:dyDescent="0.3">
      <c r="A99" s="76"/>
      <c r="B99" s="223"/>
      <c r="C99" s="76"/>
      <c r="D99" s="76"/>
      <c r="E99" s="76"/>
      <c r="F99" s="76"/>
      <c r="G99" s="76"/>
      <c r="H99" s="76"/>
      <c r="I99" s="76"/>
      <c r="J99" s="214"/>
      <c r="K99" s="157"/>
      <c r="L99" s="76"/>
      <c r="M99" s="78"/>
      <c r="N99" s="76"/>
      <c r="O99" s="76"/>
      <c r="P99" s="76"/>
      <c r="Q99" s="76"/>
    </row>
    <row r="100" spans="1:17" s="91" customFormat="1" ht="12" customHeight="1" x14ac:dyDescent="0.3">
      <c r="A100" s="76"/>
      <c r="B100" s="223"/>
      <c r="C100" s="76"/>
      <c r="D100" s="76"/>
      <c r="E100" s="76"/>
      <c r="F100" s="76"/>
      <c r="G100" s="76"/>
      <c r="H100" s="76"/>
      <c r="I100" s="76"/>
      <c r="J100" s="214"/>
      <c r="K100" s="157"/>
      <c r="L100" s="76"/>
      <c r="M100" s="78"/>
      <c r="N100" s="76"/>
      <c r="O100" s="76"/>
      <c r="P100" s="76"/>
      <c r="Q100" s="76"/>
    </row>
    <row r="101" spans="1:17" s="91" customFormat="1" ht="12" customHeight="1" x14ac:dyDescent="0.3">
      <c r="A101" s="76"/>
      <c r="B101" s="223"/>
      <c r="C101" s="76"/>
      <c r="D101" s="76"/>
      <c r="E101" s="76"/>
      <c r="F101" s="76"/>
      <c r="G101" s="76"/>
      <c r="H101" s="76"/>
      <c r="I101" s="76"/>
      <c r="J101" s="214"/>
      <c r="K101" s="157"/>
      <c r="L101" s="76"/>
      <c r="M101" s="78"/>
      <c r="N101" s="76"/>
      <c r="O101" s="76"/>
      <c r="P101" s="76"/>
      <c r="Q101" s="76"/>
    </row>
    <row r="102" spans="1:17" s="91" customFormat="1" ht="12" customHeight="1" x14ac:dyDescent="0.3">
      <c r="A102" s="76"/>
      <c r="B102" s="223"/>
      <c r="C102" s="76"/>
      <c r="D102" s="76"/>
      <c r="E102" s="76"/>
      <c r="F102" s="76"/>
      <c r="G102" s="76"/>
      <c r="H102" s="76"/>
      <c r="I102" s="76"/>
      <c r="J102" s="214"/>
      <c r="K102" s="157"/>
      <c r="L102" s="76"/>
      <c r="M102" s="78"/>
      <c r="N102" s="76"/>
      <c r="O102" s="76"/>
      <c r="P102" s="76"/>
      <c r="Q102" s="76"/>
    </row>
    <row r="103" spans="1:17" s="91" customFormat="1" ht="12" customHeight="1" x14ac:dyDescent="0.3">
      <c r="A103" s="76"/>
      <c r="B103" s="223"/>
      <c r="C103" s="76"/>
      <c r="D103" s="76"/>
      <c r="E103" s="76"/>
      <c r="F103" s="76"/>
      <c r="G103" s="76"/>
      <c r="H103" s="76"/>
      <c r="I103" s="76"/>
      <c r="J103" s="214"/>
      <c r="K103" s="157"/>
      <c r="L103" s="76"/>
      <c r="M103" s="78"/>
      <c r="N103" s="76"/>
      <c r="O103" s="76"/>
      <c r="P103" s="76"/>
      <c r="Q103" s="76"/>
    </row>
    <row r="104" spans="1:17" s="91" customFormat="1" ht="12" customHeight="1" x14ac:dyDescent="0.3">
      <c r="A104" s="76"/>
      <c r="B104" s="223"/>
      <c r="C104" s="76"/>
      <c r="D104" s="76"/>
      <c r="E104" s="76"/>
      <c r="F104" s="76"/>
      <c r="G104" s="76"/>
      <c r="H104" s="76"/>
      <c r="I104" s="76"/>
      <c r="J104" s="214"/>
      <c r="K104" s="157"/>
      <c r="L104" s="76"/>
      <c r="M104" s="78"/>
      <c r="N104" s="76"/>
      <c r="O104" s="76"/>
      <c r="P104" s="76"/>
      <c r="Q104" s="76"/>
    </row>
    <row r="105" spans="1:17" s="91" customFormat="1" ht="12" customHeight="1" x14ac:dyDescent="0.3">
      <c r="A105" s="76"/>
      <c r="B105" s="223"/>
      <c r="C105" s="76"/>
      <c r="D105" s="76"/>
      <c r="E105" s="76"/>
      <c r="F105" s="76"/>
      <c r="G105" s="76"/>
      <c r="H105" s="76"/>
      <c r="I105" s="76"/>
      <c r="J105" s="214"/>
      <c r="K105" s="157"/>
      <c r="L105" s="76"/>
      <c r="M105" s="78"/>
      <c r="N105" s="76"/>
      <c r="O105" s="76"/>
      <c r="P105" s="76"/>
      <c r="Q105" s="76"/>
    </row>
    <row r="106" spans="1:17" s="91" customFormat="1" ht="12" customHeight="1" x14ac:dyDescent="0.3">
      <c r="A106" s="76"/>
      <c r="B106" s="223"/>
      <c r="C106" s="76"/>
      <c r="D106" s="76"/>
      <c r="E106" s="76"/>
      <c r="F106" s="76"/>
      <c r="G106" s="76"/>
      <c r="H106" s="76"/>
      <c r="I106" s="76"/>
      <c r="J106" s="214"/>
      <c r="K106" s="157"/>
      <c r="L106" s="76"/>
      <c r="M106" s="78"/>
      <c r="N106" s="76"/>
      <c r="O106" s="76"/>
      <c r="P106" s="76"/>
      <c r="Q106" s="76"/>
    </row>
    <row r="107" spans="1:17" s="91" customFormat="1" ht="12" customHeight="1" x14ac:dyDescent="0.3">
      <c r="A107" s="76"/>
      <c r="B107" s="223"/>
      <c r="C107" s="76"/>
      <c r="D107" s="76"/>
      <c r="E107" s="76"/>
      <c r="F107" s="76"/>
      <c r="G107" s="76"/>
      <c r="H107" s="76"/>
      <c r="I107" s="76"/>
      <c r="J107" s="214"/>
      <c r="K107" s="157"/>
      <c r="L107" s="76"/>
      <c r="M107" s="78"/>
      <c r="N107" s="76"/>
      <c r="O107" s="76"/>
      <c r="P107" s="76"/>
      <c r="Q107" s="76"/>
    </row>
    <row r="108" spans="1:17" s="91" customFormat="1" ht="12" customHeight="1" x14ac:dyDescent="0.3">
      <c r="A108" s="76"/>
      <c r="B108" s="223"/>
      <c r="C108" s="76"/>
      <c r="D108" s="76"/>
      <c r="E108" s="76"/>
      <c r="F108" s="76"/>
      <c r="G108" s="76"/>
      <c r="H108" s="76"/>
      <c r="I108" s="76"/>
      <c r="J108" s="214"/>
      <c r="K108" s="157"/>
      <c r="L108" s="76"/>
      <c r="M108" s="78"/>
      <c r="N108" s="76"/>
      <c r="O108" s="76"/>
      <c r="P108" s="76"/>
      <c r="Q108" s="76"/>
    </row>
    <row r="109" spans="1:17" s="91" customFormat="1" ht="12" customHeight="1" x14ac:dyDescent="0.3">
      <c r="A109" s="76"/>
      <c r="B109" s="223"/>
      <c r="C109" s="76"/>
      <c r="D109" s="76"/>
      <c r="E109" s="76"/>
      <c r="F109" s="76"/>
      <c r="G109" s="76"/>
      <c r="H109" s="76"/>
      <c r="I109" s="76"/>
      <c r="J109" s="214"/>
      <c r="K109" s="157"/>
      <c r="L109" s="76"/>
      <c r="M109" s="78"/>
      <c r="N109" s="76"/>
      <c r="O109" s="76"/>
      <c r="P109" s="76"/>
      <c r="Q109" s="76"/>
    </row>
    <row r="110" spans="1:17" s="91" customFormat="1" ht="12" customHeight="1" x14ac:dyDescent="0.3">
      <c r="A110" s="76"/>
      <c r="B110" s="223"/>
      <c r="C110" s="76"/>
      <c r="D110" s="76"/>
      <c r="E110" s="76"/>
      <c r="F110" s="76"/>
      <c r="G110" s="76"/>
      <c r="H110" s="76"/>
      <c r="I110" s="76"/>
      <c r="J110" s="214"/>
      <c r="K110" s="157"/>
      <c r="L110" s="76"/>
      <c r="M110" s="78"/>
      <c r="N110" s="76"/>
      <c r="O110" s="76"/>
      <c r="P110" s="76"/>
      <c r="Q110" s="76"/>
    </row>
    <row r="111" spans="1:17" s="91" customFormat="1" ht="12" customHeight="1" x14ac:dyDescent="0.3">
      <c r="A111" s="76"/>
      <c r="B111" s="223"/>
      <c r="C111" s="76"/>
      <c r="D111" s="76"/>
      <c r="E111" s="76"/>
      <c r="F111" s="76"/>
      <c r="G111" s="76"/>
      <c r="H111" s="76"/>
      <c r="I111" s="76"/>
      <c r="J111" s="214"/>
      <c r="K111" s="157"/>
      <c r="L111" s="76"/>
      <c r="M111" s="78"/>
      <c r="N111" s="76"/>
      <c r="O111" s="76"/>
      <c r="P111" s="76"/>
      <c r="Q111" s="76"/>
    </row>
    <row r="112" spans="1:17" s="91" customFormat="1" ht="12" customHeight="1" x14ac:dyDescent="0.3">
      <c r="A112" s="76"/>
      <c r="B112" s="223"/>
      <c r="C112" s="76"/>
      <c r="D112" s="76"/>
      <c r="E112" s="76"/>
      <c r="F112" s="76"/>
      <c r="G112" s="76"/>
      <c r="H112" s="76"/>
      <c r="I112" s="76"/>
      <c r="J112" s="214"/>
      <c r="K112" s="157"/>
      <c r="L112" s="76"/>
      <c r="M112" s="78"/>
      <c r="N112" s="76"/>
      <c r="O112" s="76"/>
      <c r="P112" s="76"/>
      <c r="Q112" s="76"/>
    </row>
    <row r="113" spans="1:17" s="91" customFormat="1" ht="12" customHeight="1" x14ac:dyDescent="0.3">
      <c r="A113" s="76"/>
      <c r="B113" s="223"/>
      <c r="C113" s="76"/>
      <c r="D113" s="76"/>
      <c r="E113" s="76"/>
      <c r="F113" s="76"/>
      <c r="G113" s="76"/>
      <c r="H113" s="76"/>
      <c r="I113" s="76"/>
      <c r="J113" s="214"/>
      <c r="K113" s="157"/>
      <c r="L113" s="76"/>
      <c r="M113" s="78"/>
      <c r="N113" s="76"/>
      <c r="O113" s="76"/>
      <c r="P113" s="76"/>
      <c r="Q113" s="76"/>
    </row>
    <row r="114" spans="1:17" s="91" customFormat="1" ht="12" customHeight="1" x14ac:dyDescent="0.3">
      <c r="A114" s="76"/>
      <c r="B114" s="223"/>
      <c r="C114" s="76"/>
      <c r="D114" s="76"/>
      <c r="E114" s="76"/>
      <c r="F114" s="76"/>
      <c r="G114" s="76"/>
      <c r="H114" s="76"/>
      <c r="I114" s="76"/>
      <c r="J114" s="214"/>
      <c r="K114" s="157"/>
      <c r="L114" s="76"/>
      <c r="M114" s="78"/>
      <c r="N114" s="76"/>
      <c r="O114" s="76"/>
      <c r="P114" s="76"/>
      <c r="Q114" s="76"/>
    </row>
    <row r="115" spans="1:17" s="91" customFormat="1" ht="12" customHeight="1" x14ac:dyDescent="0.3">
      <c r="A115" s="76"/>
      <c r="B115" s="223"/>
      <c r="C115" s="76"/>
      <c r="D115" s="76"/>
      <c r="E115" s="76"/>
      <c r="F115" s="76"/>
      <c r="G115" s="76"/>
      <c r="H115" s="76"/>
      <c r="I115" s="76"/>
      <c r="J115" s="214"/>
      <c r="K115" s="157"/>
      <c r="L115" s="76"/>
      <c r="M115" s="78"/>
      <c r="N115" s="76"/>
      <c r="O115" s="76"/>
      <c r="P115" s="76"/>
      <c r="Q115" s="76"/>
    </row>
    <row r="116" spans="1:17" s="91" customFormat="1" ht="12" customHeight="1" x14ac:dyDescent="0.3">
      <c r="A116" s="76"/>
      <c r="B116" s="223"/>
      <c r="C116" s="76"/>
      <c r="D116" s="76"/>
      <c r="E116" s="76"/>
      <c r="F116" s="76"/>
      <c r="G116" s="76"/>
      <c r="H116" s="76"/>
      <c r="I116" s="76"/>
      <c r="J116" s="214"/>
      <c r="K116" s="157"/>
      <c r="L116" s="76"/>
      <c r="M116" s="78"/>
      <c r="N116" s="76"/>
      <c r="O116" s="76"/>
      <c r="P116" s="76"/>
      <c r="Q116" s="76"/>
    </row>
    <row r="117" spans="1:17" s="91" customFormat="1" ht="12" customHeight="1" x14ac:dyDescent="0.3">
      <c r="A117" s="76"/>
      <c r="B117" s="223"/>
      <c r="C117" s="76"/>
      <c r="D117" s="76"/>
      <c r="E117" s="76"/>
      <c r="F117" s="76"/>
      <c r="G117" s="76"/>
      <c r="H117" s="76"/>
      <c r="I117" s="76"/>
      <c r="J117" s="214"/>
      <c r="K117" s="157"/>
      <c r="L117" s="76"/>
      <c r="M117" s="78"/>
      <c r="N117" s="76"/>
      <c r="O117" s="76"/>
      <c r="P117" s="76"/>
      <c r="Q117" s="76"/>
    </row>
    <row r="118" spans="1:17" s="91" customFormat="1" ht="12" customHeight="1" x14ac:dyDescent="0.3">
      <c r="A118" s="76"/>
      <c r="B118" s="223"/>
      <c r="C118" s="76"/>
      <c r="D118" s="76"/>
      <c r="E118" s="76"/>
      <c r="F118" s="76"/>
      <c r="G118" s="76"/>
      <c r="H118" s="76"/>
      <c r="I118" s="76"/>
      <c r="J118" s="214"/>
      <c r="K118" s="157"/>
      <c r="L118" s="76"/>
      <c r="M118" s="78"/>
      <c r="N118" s="76"/>
      <c r="O118" s="76"/>
      <c r="P118" s="76"/>
      <c r="Q118" s="76"/>
    </row>
    <row r="119" spans="1:17" s="91" customFormat="1" ht="12" customHeight="1" x14ac:dyDescent="0.3">
      <c r="A119" s="76"/>
      <c r="B119" s="223"/>
      <c r="C119" s="76"/>
      <c r="D119" s="76"/>
      <c r="E119" s="76"/>
      <c r="F119" s="76"/>
      <c r="G119" s="76"/>
      <c r="H119" s="76"/>
      <c r="I119" s="76"/>
      <c r="J119" s="214"/>
      <c r="K119" s="157"/>
      <c r="L119" s="76"/>
      <c r="M119" s="78"/>
      <c r="N119" s="76"/>
      <c r="O119" s="76"/>
      <c r="P119" s="76"/>
      <c r="Q119" s="76"/>
    </row>
    <row r="120" spans="1:17" s="91" customFormat="1" ht="12" customHeight="1" x14ac:dyDescent="0.3">
      <c r="A120" s="76"/>
      <c r="B120" s="223"/>
      <c r="C120" s="76"/>
      <c r="D120" s="76"/>
      <c r="E120" s="76"/>
      <c r="F120" s="76"/>
      <c r="G120" s="76"/>
      <c r="H120" s="76"/>
      <c r="I120" s="76"/>
      <c r="J120" s="214"/>
      <c r="K120" s="157"/>
      <c r="L120" s="76"/>
      <c r="M120" s="78"/>
      <c r="N120" s="76"/>
      <c r="O120" s="76"/>
      <c r="P120" s="76"/>
      <c r="Q120" s="76"/>
    </row>
    <row r="121" spans="1:17" s="91" customFormat="1" ht="12" customHeight="1" x14ac:dyDescent="0.3">
      <c r="A121" s="76"/>
      <c r="B121" s="223"/>
      <c r="C121" s="76"/>
      <c r="D121" s="76"/>
      <c r="E121" s="76"/>
      <c r="F121" s="76"/>
      <c r="G121" s="76"/>
      <c r="H121" s="76"/>
      <c r="I121" s="76"/>
      <c r="J121" s="214"/>
      <c r="K121" s="157"/>
      <c r="L121" s="76"/>
      <c r="M121" s="78"/>
      <c r="N121" s="76"/>
      <c r="O121" s="76"/>
      <c r="P121" s="76"/>
      <c r="Q121" s="76"/>
    </row>
    <row r="122" spans="1:17" s="91" customFormat="1" ht="12" customHeight="1" x14ac:dyDescent="0.3">
      <c r="A122" s="76"/>
      <c r="B122" s="223"/>
      <c r="C122" s="76"/>
      <c r="D122" s="76"/>
      <c r="E122" s="76"/>
      <c r="F122" s="76"/>
      <c r="G122" s="76"/>
      <c r="H122" s="76"/>
      <c r="I122" s="76"/>
      <c r="J122" s="214"/>
      <c r="K122" s="157"/>
      <c r="L122" s="76"/>
      <c r="M122" s="78"/>
      <c r="N122" s="76"/>
      <c r="O122" s="76"/>
      <c r="P122" s="76"/>
      <c r="Q122" s="76"/>
    </row>
    <row r="123" spans="1:17" s="91" customFormat="1" ht="12" customHeight="1" x14ac:dyDescent="0.3">
      <c r="A123" s="76"/>
      <c r="B123" s="223"/>
      <c r="C123" s="76"/>
      <c r="D123" s="76"/>
      <c r="E123" s="76"/>
      <c r="F123" s="76"/>
      <c r="G123" s="76"/>
      <c r="H123" s="76"/>
      <c r="I123" s="76"/>
      <c r="J123" s="214"/>
      <c r="K123" s="157"/>
      <c r="L123" s="76"/>
      <c r="M123" s="78"/>
      <c r="N123" s="76"/>
      <c r="O123" s="76"/>
      <c r="P123" s="76"/>
      <c r="Q123" s="76"/>
    </row>
    <row r="124" spans="1:17" s="91" customFormat="1" ht="12" customHeight="1" x14ac:dyDescent="0.3">
      <c r="A124" s="76"/>
      <c r="B124" s="223"/>
      <c r="C124" s="76"/>
      <c r="D124" s="76"/>
      <c r="E124" s="76"/>
      <c r="F124" s="76"/>
      <c r="G124" s="76"/>
      <c r="H124" s="76"/>
      <c r="I124" s="76"/>
      <c r="J124" s="214"/>
      <c r="K124" s="157"/>
      <c r="L124" s="76"/>
      <c r="M124" s="78"/>
      <c r="N124" s="76"/>
      <c r="O124" s="76"/>
      <c r="P124" s="76"/>
      <c r="Q124" s="76"/>
    </row>
    <row r="125" spans="1:17" s="91" customFormat="1" ht="12" customHeight="1" x14ac:dyDescent="0.3">
      <c r="A125" s="76"/>
      <c r="B125" s="223"/>
      <c r="C125" s="76"/>
      <c r="D125" s="76"/>
      <c r="E125" s="76"/>
      <c r="F125" s="76"/>
      <c r="G125" s="76"/>
      <c r="H125" s="76"/>
      <c r="I125" s="76"/>
      <c r="J125" s="214"/>
      <c r="K125" s="157"/>
      <c r="L125" s="76"/>
      <c r="M125" s="78"/>
      <c r="N125" s="76"/>
      <c r="O125" s="76"/>
      <c r="P125" s="76"/>
      <c r="Q125" s="76"/>
    </row>
    <row r="126" spans="1:17" s="91" customFormat="1" ht="12" customHeight="1" x14ac:dyDescent="0.3">
      <c r="A126" s="76"/>
      <c r="B126" s="223"/>
      <c r="C126" s="76"/>
      <c r="D126" s="76"/>
      <c r="E126" s="76"/>
      <c r="F126" s="76"/>
      <c r="G126" s="76"/>
      <c r="H126" s="76"/>
      <c r="I126" s="76"/>
      <c r="J126" s="214"/>
      <c r="K126" s="157"/>
      <c r="L126" s="76"/>
      <c r="M126" s="78"/>
      <c r="N126" s="76"/>
      <c r="O126" s="76"/>
      <c r="P126" s="76"/>
      <c r="Q126" s="76"/>
    </row>
    <row r="127" spans="1:17" s="91" customFormat="1" ht="12" customHeight="1" x14ac:dyDescent="0.3">
      <c r="A127" s="76"/>
      <c r="B127" s="223"/>
      <c r="C127" s="76"/>
      <c r="D127" s="76"/>
      <c r="E127" s="76"/>
      <c r="F127" s="76"/>
      <c r="G127" s="76"/>
      <c r="H127" s="76"/>
      <c r="I127" s="76"/>
      <c r="J127" s="214"/>
      <c r="K127" s="157"/>
      <c r="L127" s="76"/>
      <c r="M127" s="78"/>
      <c r="N127" s="76"/>
      <c r="O127" s="76"/>
      <c r="P127" s="76"/>
      <c r="Q127" s="76"/>
    </row>
    <row r="128" spans="1:17" s="91" customFormat="1" ht="12" customHeight="1" x14ac:dyDescent="0.3">
      <c r="A128" s="76"/>
      <c r="B128" s="223"/>
      <c r="C128" s="76"/>
      <c r="D128" s="76"/>
      <c r="E128" s="76"/>
      <c r="F128" s="76"/>
      <c r="G128" s="76"/>
      <c r="H128" s="76"/>
      <c r="I128" s="76"/>
      <c r="J128" s="214"/>
      <c r="K128" s="157"/>
      <c r="L128" s="76"/>
      <c r="M128" s="78"/>
      <c r="N128" s="76"/>
      <c r="O128" s="76"/>
      <c r="P128" s="76"/>
      <c r="Q128" s="76"/>
    </row>
    <row r="129" spans="1:17" s="91" customFormat="1" ht="12" customHeight="1" x14ac:dyDescent="0.3">
      <c r="A129" s="76"/>
      <c r="B129" s="223"/>
      <c r="C129" s="76"/>
      <c r="D129" s="76"/>
      <c r="E129" s="76"/>
      <c r="F129" s="76"/>
      <c r="G129" s="76"/>
      <c r="H129" s="76"/>
      <c r="I129" s="76"/>
      <c r="J129" s="214"/>
      <c r="K129" s="157"/>
      <c r="L129" s="76"/>
      <c r="M129" s="78"/>
      <c r="N129" s="76"/>
      <c r="O129" s="76"/>
      <c r="P129" s="76"/>
      <c r="Q129" s="76"/>
    </row>
    <row r="130" spans="1:17" s="91" customFormat="1" ht="12" customHeight="1" x14ac:dyDescent="0.3">
      <c r="A130" s="76"/>
      <c r="B130" s="223"/>
      <c r="C130" s="76"/>
      <c r="D130" s="76"/>
      <c r="E130" s="76"/>
      <c r="F130" s="76"/>
      <c r="G130" s="76"/>
      <c r="H130" s="76"/>
      <c r="I130" s="76"/>
      <c r="J130" s="214"/>
      <c r="K130" s="157"/>
      <c r="L130" s="76"/>
      <c r="M130" s="78"/>
      <c r="N130" s="76"/>
      <c r="O130" s="76"/>
      <c r="P130" s="76"/>
      <c r="Q130" s="76"/>
    </row>
    <row r="131" spans="1:17" s="91" customFormat="1" ht="12" customHeight="1" x14ac:dyDescent="0.3">
      <c r="A131" s="76"/>
      <c r="B131" s="223"/>
      <c r="C131" s="76"/>
      <c r="D131" s="76"/>
      <c r="E131" s="76"/>
      <c r="F131" s="76"/>
      <c r="G131" s="76"/>
      <c r="H131" s="76"/>
      <c r="I131" s="76"/>
      <c r="J131" s="214"/>
      <c r="K131" s="157"/>
      <c r="L131" s="76"/>
      <c r="M131" s="78"/>
      <c r="N131" s="76"/>
      <c r="O131" s="76"/>
      <c r="P131" s="76"/>
      <c r="Q131" s="76"/>
    </row>
    <row r="132" spans="1:17" s="91" customFormat="1" ht="12" customHeight="1" x14ac:dyDescent="0.3">
      <c r="A132" s="76"/>
      <c r="B132" s="223"/>
      <c r="C132" s="76"/>
      <c r="D132" s="76"/>
      <c r="E132" s="76"/>
      <c r="F132" s="76"/>
      <c r="G132" s="76"/>
      <c r="H132" s="76"/>
      <c r="I132" s="76"/>
      <c r="J132" s="214"/>
      <c r="K132" s="157"/>
      <c r="L132" s="76"/>
      <c r="M132" s="78"/>
      <c r="N132" s="76"/>
      <c r="O132" s="76"/>
      <c r="P132" s="76"/>
      <c r="Q132" s="76"/>
    </row>
    <row r="133" spans="1:17" s="91" customFormat="1" ht="12" customHeight="1" x14ac:dyDescent="0.3">
      <c r="A133" s="76"/>
      <c r="B133" s="223"/>
      <c r="C133" s="76"/>
      <c r="D133" s="76"/>
      <c r="E133" s="76"/>
      <c r="F133" s="76"/>
      <c r="G133" s="76"/>
      <c r="H133" s="76"/>
      <c r="I133" s="76"/>
      <c r="J133" s="214"/>
      <c r="K133" s="157"/>
      <c r="L133" s="76"/>
      <c r="M133" s="78"/>
      <c r="N133" s="76"/>
      <c r="O133" s="76"/>
      <c r="P133" s="76"/>
      <c r="Q133" s="76"/>
    </row>
    <row r="134" spans="1:17" s="91" customFormat="1" ht="12" customHeight="1" x14ac:dyDescent="0.3">
      <c r="A134" s="76"/>
      <c r="B134" s="223"/>
      <c r="C134" s="76"/>
      <c r="D134" s="76"/>
      <c r="E134" s="76"/>
      <c r="F134" s="76"/>
      <c r="G134" s="76"/>
      <c r="H134" s="76"/>
      <c r="I134" s="76"/>
      <c r="J134" s="214"/>
      <c r="K134" s="157"/>
      <c r="L134" s="76"/>
      <c r="M134" s="78"/>
      <c r="N134" s="76"/>
      <c r="O134" s="76"/>
      <c r="P134" s="76"/>
      <c r="Q134" s="76"/>
    </row>
    <row r="135" spans="1:17" s="91" customFormat="1" ht="12" customHeight="1" x14ac:dyDescent="0.3">
      <c r="A135" s="76"/>
      <c r="B135" s="223"/>
      <c r="C135" s="76"/>
      <c r="D135" s="76"/>
      <c r="E135" s="76"/>
      <c r="F135" s="76"/>
      <c r="G135" s="76"/>
      <c r="H135" s="76"/>
      <c r="I135" s="76"/>
      <c r="J135" s="214"/>
      <c r="K135" s="157"/>
      <c r="L135" s="76"/>
      <c r="M135" s="78"/>
      <c r="N135" s="76"/>
      <c r="O135" s="76"/>
      <c r="P135" s="76"/>
      <c r="Q135" s="76"/>
    </row>
    <row r="136" spans="1:17" s="91" customFormat="1" ht="12" customHeight="1" x14ac:dyDescent="0.3">
      <c r="A136" s="76"/>
      <c r="B136" s="223"/>
      <c r="C136" s="76"/>
      <c r="D136" s="76"/>
      <c r="E136" s="76"/>
      <c r="F136" s="76"/>
      <c r="G136" s="76"/>
      <c r="H136" s="76"/>
      <c r="I136" s="76"/>
      <c r="J136" s="214"/>
      <c r="K136" s="157"/>
      <c r="L136" s="76"/>
      <c r="M136" s="78"/>
      <c r="N136" s="76"/>
      <c r="O136" s="76"/>
      <c r="P136" s="76"/>
      <c r="Q136" s="76"/>
    </row>
    <row r="137" spans="1:17" s="91" customFormat="1" ht="12" customHeight="1" x14ac:dyDescent="0.3">
      <c r="A137" s="76"/>
      <c r="B137" s="223"/>
      <c r="C137" s="76"/>
      <c r="D137" s="76"/>
      <c r="E137" s="76"/>
      <c r="F137" s="76"/>
      <c r="G137" s="76"/>
      <c r="H137" s="76"/>
      <c r="I137" s="76"/>
      <c r="J137" s="214"/>
      <c r="K137" s="157"/>
      <c r="L137" s="76"/>
      <c r="M137" s="78"/>
      <c r="N137" s="76"/>
      <c r="O137" s="76"/>
      <c r="P137" s="76"/>
      <c r="Q137" s="76"/>
    </row>
    <row r="138" spans="1:17" s="91" customFormat="1" ht="12" customHeight="1" x14ac:dyDescent="0.3">
      <c r="A138" s="76"/>
      <c r="B138" s="223"/>
      <c r="C138" s="76"/>
      <c r="D138" s="76"/>
      <c r="E138" s="76"/>
      <c r="F138" s="76"/>
      <c r="G138" s="76"/>
      <c r="H138" s="76"/>
      <c r="I138" s="76"/>
      <c r="J138" s="214"/>
      <c r="K138" s="157"/>
      <c r="L138" s="76"/>
      <c r="M138" s="78"/>
      <c r="N138" s="76"/>
      <c r="O138" s="76"/>
      <c r="P138" s="76"/>
      <c r="Q138" s="76"/>
    </row>
    <row r="139" spans="1:17" s="91" customFormat="1" ht="12" customHeight="1" x14ac:dyDescent="0.3">
      <c r="A139" s="76"/>
      <c r="B139" s="223"/>
      <c r="C139" s="76"/>
      <c r="D139" s="76"/>
      <c r="E139" s="76"/>
      <c r="F139" s="76"/>
      <c r="G139" s="76"/>
      <c r="H139" s="76"/>
      <c r="I139" s="76"/>
      <c r="J139" s="214"/>
      <c r="K139" s="157"/>
      <c r="L139" s="76"/>
      <c r="M139" s="78"/>
      <c r="N139" s="76"/>
      <c r="O139" s="76"/>
      <c r="P139" s="76"/>
      <c r="Q139" s="76"/>
    </row>
    <row r="140" spans="1:17" s="91" customFormat="1" ht="12" customHeight="1" x14ac:dyDescent="0.3">
      <c r="A140" s="76"/>
      <c r="B140" s="223"/>
      <c r="C140" s="76"/>
      <c r="D140" s="76"/>
      <c r="E140" s="76"/>
      <c r="F140" s="76"/>
      <c r="G140" s="76"/>
      <c r="H140" s="76"/>
      <c r="I140" s="76"/>
      <c r="J140" s="214"/>
      <c r="K140" s="157"/>
      <c r="L140" s="76"/>
      <c r="M140" s="78"/>
      <c r="N140" s="76"/>
      <c r="O140" s="76"/>
      <c r="P140" s="76"/>
      <c r="Q140" s="76"/>
    </row>
    <row r="141" spans="1:17" s="91" customFormat="1" ht="12" customHeight="1" x14ac:dyDescent="0.3">
      <c r="A141" s="76"/>
      <c r="B141" s="223"/>
      <c r="C141" s="76"/>
      <c r="D141" s="76"/>
      <c r="E141" s="76"/>
      <c r="F141" s="76"/>
      <c r="G141" s="76"/>
      <c r="H141" s="76"/>
      <c r="I141" s="76"/>
      <c r="J141" s="214"/>
      <c r="K141" s="157"/>
      <c r="L141" s="76"/>
      <c r="M141" s="78"/>
      <c r="N141" s="76"/>
      <c r="O141" s="76"/>
      <c r="P141" s="76"/>
      <c r="Q141" s="76"/>
    </row>
    <row r="142" spans="1:17" s="91" customFormat="1" ht="12" customHeight="1" x14ac:dyDescent="0.3">
      <c r="A142" s="76"/>
      <c r="B142" s="223"/>
      <c r="C142" s="76"/>
      <c r="D142" s="76"/>
      <c r="E142" s="76"/>
      <c r="F142" s="76"/>
      <c r="G142" s="76"/>
      <c r="H142" s="76"/>
      <c r="I142" s="76"/>
      <c r="J142" s="214"/>
      <c r="K142" s="157"/>
      <c r="L142" s="76"/>
      <c r="M142" s="78"/>
      <c r="N142" s="76"/>
      <c r="O142" s="76"/>
      <c r="P142" s="76"/>
      <c r="Q142" s="76"/>
    </row>
    <row r="143" spans="1:17" s="91" customFormat="1" ht="12" customHeight="1" x14ac:dyDescent="0.3">
      <c r="A143" s="76"/>
      <c r="B143" s="223"/>
      <c r="C143" s="76"/>
      <c r="D143" s="76"/>
      <c r="E143" s="76"/>
      <c r="F143" s="76"/>
      <c r="G143" s="76"/>
      <c r="H143" s="76"/>
      <c r="I143" s="76"/>
      <c r="J143" s="214"/>
      <c r="K143" s="157"/>
      <c r="L143" s="76"/>
      <c r="M143" s="78"/>
      <c r="N143" s="76"/>
      <c r="O143" s="76"/>
      <c r="P143" s="76"/>
      <c r="Q143" s="76"/>
    </row>
    <row r="144" spans="1:17" s="91" customFormat="1" ht="12" customHeight="1" x14ac:dyDescent="0.3">
      <c r="A144" s="76"/>
      <c r="B144" s="223"/>
      <c r="C144" s="76"/>
      <c r="D144" s="76"/>
      <c r="E144" s="76"/>
      <c r="F144" s="76"/>
      <c r="G144" s="76"/>
      <c r="H144" s="76"/>
      <c r="I144" s="76"/>
      <c r="J144" s="214"/>
      <c r="K144" s="157"/>
      <c r="L144" s="76"/>
      <c r="M144" s="78"/>
      <c r="N144" s="76"/>
      <c r="O144" s="76"/>
      <c r="P144" s="76"/>
      <c r="Q144" s="76"/>
    </row>
    <row r="145" spans="1:17" s="91" customFormat="1" ht="12" customHeight="1" x14ac:dyDescent="0.3">
      <c r="A145" s="76"/>
      <c r="B145" s="223"/>
      <c r="C145" s="76"/>
      <c r="D145" s="76"/>
      <c r="E145" s="76"/>
      <c r="F145" s="76"/>
      <c r="G145" s="76"/>
      <c r="H145" s="76"/>
      <c r="I145" s="76"/>
      <c r="J145" s="214"/>
      <c r="K145" s="157"/>
      <c r="L145" s="76"/>
      <c r="M145" s="78"/>
      <c r="N145" s="76"/>
      <c r="O145" s="76"/>
      <c r="P145" s="76"/>
      <c r="Q145" s="76"/>
    </row>
    <row r="146" spans="1:17" s="91" customFormat="1" ht="12" customHeight="1" x14ac:dyDescent="0.3">
      <c r="A146" s="76"/>
      <c r="B146" s="223"/>
      <c r="C146" s="76"/>
      <c r="D146" s="76"/>
      <c r="E146" s="76"/>
      <c r="F146" s="76"/>
      <c r="G146" s="76"/>
      <c r="H146" s="76"/>
      <c r="I146" s="76"/>
      <c r="J146" s="214"/>
      <c r="K146" s="157"/>
      <c r="L146" s="76"/>
      <c r="M146" s="78"/>
      <c r="N146" s="76"/>
      <c r="O146" s="76"/>
      <c r="P146" s="76"/>
      <c r="Q146" s="76"/>
    </row>
    <row r="147" spans="1:17" s="91" customFormat="1" ht="12" customHeight="1" x14ac:dyDescent="0.3">
      <c r="A147" s="76"/>
      <c r="B147" s="223"/>
      <c r="C147" s="76"/>
      <c r="D147" s="76"/>
      <c r="E147" s="76"/>
      <c r="F147" s="76"/>
      <c r="G147" s="76"/>
      <c r="H147" s="76"/>
      <c r="I147" s="76"/>
      <c r="J147" s="214"/>
      <c r="K147" s="157"/>
      <c r="L147" s="76"/>
      <c r="M147" s="78"/>
      <c r="N147" s="76"/>
      <c r="O147" s="76"/>
      <c r="P147" s="76"/>
      <c r="Q147" s="76"/>
    </row>
    <row r="148" spans="1:17" s="91" customFormat="1" ht="12" customHeight="1" x14ac:dyDescent="0.3">
      <c r="A148" s="76"/>
      <c r="B148" s="223"/>
      <c r="C148" s="76"/>
      <c r="D148" s="76"/>
      <c r="E148" s="76"/>
      <c r="F148" s="76"/>
      <c r="G148" s="76"/>
      <c r="H148" s="76"/>
      <c r="I148" s="76"/>
      <c r="J148" s="214"/>
      <c r="K148" s="157"/>
      <c r="L148" s="76"/>
      <c r="M148" s="78"/>
      <c r="N148" s="76"/>
      <c r="O148" s="76"/>
      <c r="P148" s="76"/>
      <c r="Q148" s="76"/>
    </row>
    <row r="149" spans="1:17" s="91" customFormat="1" ht="12" customHeight="1" x14ac:dyDescent="0.3">
      <c r="A149" s="76"/>
      <c r="B149" s="223"/>
      <c r="C149" s="76"/>
      <c r="D149" s="76"/>
      <c r="E149" s="76"/>
      <c r="F149" s="76"/>
      <c r="G149" s="76"/>
      <c r="H149" s="76"/>
      <c r="I149" s="76"/>
      <c r="J149" s="214"/>
      <c r="K149" s="157"/>
      <c r="L149" s="76"/>
      <c r="M149" s="78"/>
      <c r="N149" s="76"/>
      <c r="O149" s="76"/>
      <c r="P149" s="76"/>
      <c r="Q149" s="76"/>
    </row>
    <row r="150" spans="1:17" s="91" customFormat="1" ht="12" customHeight="1" x14ac:dyDescent="0.3">
      <c r="A150" s="76"/>
      <c r="B150" s="223"/>
      <c r="C150" s="76"/>
      <c r="D150" s="76"/>
      <c r="E150" s="76"/>
      <c r="F150" s="76"/>
      <c r="G150" s="76"/>
      <c r="H150" s="76"/>
      <c r="I150" s="76"/>
      <c r="J150" s="214"/>
      <c r="K150" s="157"/>
      <c r="L150" s="76"/>
      <c r="M150" s="78"/>
      <c r="N150" s="76"/>
      <c r="O150" s="76"/>
      <c r="P150" s="76"/>
      <c r="Q150" s="76"/>
    </row>
    <row r="151" spans="1:17" s="91" customFormat="1" ht="12" customHeight="1" x14ac:dyDescent="0.3">
      <c r="A151" s="76"/>
      <c r="B151" s="223"/>
      <c r="C151" s="76"/>
      <c r="D151" s="76"/>
      <c r="E151" s="76"/>
      <c r="F151" s="76"/>
      <c r="G151" s="76"/>
      <c r="H151" s="76"/>
      <c r="I151" s="76"/>
      <c r="J151" s="214"/>
      <c r="K151" s="157"/>
      <c r="L151" s="76"/>
      <c r="M151" s="78"/>
      <c r="N151" s="76"/>
      <c r="O151" s="76"/>
      <c r="P151" s="76"/>
      <c r="Q151" s="76"/>
    </row>
    <row r="152" spans="1:17" s="91" customFormat="1" ht="12" customHeight="1" x14ac:dyDescent="0.3">
      <c r="A152" s="76"/>
      <c r="B152" s="223"/>
      <c r="C152" s="76"/>
      <c r="D152" s="76"/>
      <c r="E152" s="76"/>
      <c r="F152" s="76"/>
      <c r="G152" s="76"/>
      <c r="H152" s="76"/>
      <c r="I152" s="76"/>
      <c r="J152" s="214"/>
      <c r="K152" s="157"/>
      <c r="L152" s="76"/>
      <c r="M152" s="78"/>
      <c r="N152" s="76"/>
      <c r="O152" s="76"/>
      <c r="P152" s="76"/>
      <c r="Q152" s="76"/>
    </row>
    <row r="153" spans="1:17" s="91" customFormat="1" ht="12" customHeight="1" x14ac:dyDescent="0.3">
      <c r="A153" s="76"/>
      <c r="B153" s="223"/>
      <c r="C153" s="76"/>
      <c r="D153" s="76"/>
      <c r="E153" s="76"/>
      <c r="F153" s="76"/>
      <c r="G153" s="76"/>
      <c r="H153" s="76"/>
      <c r="I153" s="76"/>
      <c r="J153" s="214"/>
      <c r="K153" s="157"/>
      <c r="L153" s="76"/>
      <c r="M153" s="78"/>
      <c r="N153" s="76"/>
      <c r="O153" s="76"/>
      <c r="P153" s="76"/>
      <c r="Q153" s="76"/>
    </row>
    <row r="154" spans="1:17" s="91" customFormat="1" ht="12" customHeight="1" x14ac:dyDescent="0.3">
      <c r="A154" s="76"/>
      <c r="B154" s="223"/>
      <c r="C154" s="76"/>
      <c r="D154" s="76"/>
      <c r="E154" s="76"/>
      <c r="F154" s="76"/>
      <c r="G154" s="76"/>
      <c r="H154" s="76"/>
      <c r="I154" s="76"/>
      <c r="J154" s="214"/>
      <c r="K154" s="157"/>
      <c r="L154" s="76"/>
      <c r="M154" s="78"/>
      <c r="N154" s="76"/>
      <c r="O154" s="76"/>
      <c r="P154" s="76"/>
      <c r="Q154" s="76"/>
    </row>
    <row r="155" spans="1:17" s="91" customFormat="1" ht="12" customHeight="1" x14ac:dyDescent="0.3">
      <c r="A155" s="76"/>
      <c r="B155" s="223"/>
      <c r="C155" s="76"/>
      <c r="D155" s="76"/>
      <c r="E155" s="76"/>
      <c r="F155" s="76"/>
      <c r="G155" s="76"/>
      <c r="H155" s="76"/>
      <c r="I155" s="76"/>
      <c r="J155" s="214"/>
      <c r="K155" s="157"/>
      <c r="L155" s="76"/>
      <c r="M155" s="78"/>
      <c r="N155" s="76"/>
      <c r="O155" s="76"/>
      <c r="P155" s="76"/>
      <c r="Q155" s="76"/>
    </row>
    <row r="156" spans="1:17" s="91" customFormat="1" ht="12" customHeight="1" x14ac:dyDescent="0.3">
      <c r="A156" s="76"/>
      <c r="B156" s="223"/>
      <c r="C156" s="76"/>
      <c r="D156" s="76"/>
      <c r="E156" s="76"/>
      <c r="F156" s="76"/>
      <c r="G156" s="76"/>
      <c r="H156" s="76"/>
      <c r="I156" s="76"/>
      <c r="J156" s="214"/>
      <c r="K156" s="157"/>
      <c r="L156" s="76"/>
      <c r="M156" s="78"/>
      <c r="N156" s="76"/>
      <c r="O156" s="76"/>
      <c r="P156" s="76"/>
      <c r="Q156" s="76"/>
    </row>
    <row r="157" spans="1:17" s="91" customFormat="1" ht="12" customHeight="1" x14ac:dyDescent="0.3">
      <c r="A157" s="76"/>
      <c r="B157" s="223"/>
      <c r="C157" s="76"/>
      <c r="D157" s="76"/>
      <c r="E157" s="76"/>
      <c r="F157" s="76"/>
      <c r="G157" s="76"/>
      <c r="H157" s="76"/>
      <c r="I157" s="76"/>
      <c r="J157" s="214"/>
      <c r="K157" s="157"/>
      <c r="L157" s="76"/>
      <c r="M157" s="78"/>
      <c r="N157" s="76"/>
      <c r="O157" s="76"/>
      <c r="P157" s="76"/>
      <c r="Q157" s="76"/>
    </row>
    <row r="158" spans="1:17" s="91" customFormat="1" ht="12" customHeight="1" x14ac:dyDescent="0.3">
      <c r="A158" s="76"/>
      <c r="B158" s="223"/>
      <c r="C158" s="76"/>
      <c r="D158" s="76"/>
      <c r="E158" s="76"/>
      <c r="F158" s="76"/>
      <c r="G158" s="76"/>
      <c r="H158" s="76"/>
      <c r="I158" s="76"/>
      <c r="J158" s="214"/>
      <c r="K158" s="157"/>
      <c r="L158" s="76"/>
      <c r="M158" s="78"/>
      <c r="N158" s="76"/>
      <c r="O158" s="76"/>
      <c r="P158" s="76"/>
      <c r="Q158" s="76"/>
    </row>
    <row r="159" spans="1:17" s="91" customFormat="1" ht="12" customHeight="1" x14ac:dyDescent="0.3">
      <c r="A159" s="76"/>
      <c r="B159" s="223"/>
      <c r="C159" s="76"/>
      <c r="D159" s="76"/>
      <c r="E159" s="76"/>
      <c r="F159" s="76"/>
      <c r="G159" s="76"/>
      <c r="H159" s="76"/>
      <c r="I159" s="76"/>
      <c r="J159" s="214"/>
      <c r="K159" s="157"/>
      <c r="L159" s="76"/>
      <c r="M159" s="78"/>
      <c r="N159" s="76"/>
      <c r="O159" s="76"/>
      <c r="P159" s="76"/>
      <c r="Q159" s="76"/>
    </row>
    <row r="160" spans="1:17" s="91" customFormat="1" ht="12" customHeight="1" x14ac:dyDescent="0.3">
      <c r="A160" s="76"/>
      <c r="B160" s="223"/>
      <c r="C160" s="76"/>
      <c r="D160" s="76"/>
      <c r="E160" s="76"/>
      <c r="F160" s="76"/>
      <c r="G160" s="76"/>
      <c r="H160" s="76"/>
      <c r="I160" s="76"/>
      <c r="J160" s="214"/>
      <c r="K160" s="157"/>
      <c r="L160" s="76"/>
      <c r="M160" s="78"/>
      <c r="N160" s="76"/>
      <c r="O160" s="76"/>
      <c r="P160" s="76"/>
      <c r="Q160" s="76"/>
    </row>
    <row r="161" spans="1:17" s="91" customFormat="1" ht="12" customHeight="1" x14ac:dyDescent="0.3">
      <c r="A161" s="76"/>
      <c r="B161" s="223"/>
      <c r="C161" s="76"/>
      <c r="D161" s="76"/>
      <c r="E161" s="76"/>
      <c r="F161" s="76"/>
      <c r="G161" s="76"/>
      <c r="H161" s="76"/>
      <c r="I161" s="76"/>
      <c r="J161" s="214"/>
      <c r="K161" s="157"/>
      <c r="L161" s="76"/>
      <c r="M161" s="78"/>
      <c r="N161" s="76"/>
      <c r="O161" s="76"/>
      <c r="P161" s="76"/>
      <c r="Q161" s="76"/>
    </row>
    <row r="162" spans="1:17" s="91" customFormat="1" ht="12" customHeight="1" x14ac:dyDescent="0.3">
      <c r="A162" s="76"/>
      <c r="B162" s="223"/>
      <c r="C162" s="76"/>
      <c r="D162" s="76"/>
      <c r="E162" s="76"/>
      <c r="F162" s="76"/>
      <c r="G162" s="76"/>
      <c r="H162" s="76"/>
      <c r="I162" s="76"/>
      <c r="J162" s="214"/>
      <c r="K162" s="157"/>
      <c r="L162" s="76"/>
      <c r="M162" s="78"/>
      <c r="N162" s="76"/>
      <c r="O162" s="76"/>
      <c r="P162" s="76"/>
      <c r="Q162" s="76"/>
    </row>
    <row r="163" spans="1:17" s="91" customFormat="1" ht="12" customHeight="1" x14ac:dyDescent="0.3">
      <c r="A163" s="76"/>
      <c r="B163" s="223"/>
      <c r="C163" s="76"/>
      <c r="D163" s="76"/>
      <c r="E163" s="76"/>
      <c r="F163" s="76"/>
      <c r="G163" s="76"/>
      <c r="H163" s="76"/>
      <c r="I163" s="76"/>
      <c r="J163" s="214"/>
      <c r="K163" s="157"/>
      <c r="L163" s="76"/>
      <c r="M163" s="78"/>
      <c r="N163" s="76"/>
      <c r="O163" s="76"/>
      <c r="P163" s="76"/>
      <c r="Q163" s="76"/>
    </row>
    <row r="164" spans="1:17" s="91" customFormat="1" ht="12" customHeight="1" x14ac:dyDescent="0.3">
      <c r="A164" s="76"/>
      <c r="B164" s="223"/>
      <c r="C164" s="76"/>
      <c r="D164" s="76"/>
      <c r="E164" s="76"/>
      <c r="F164" s="76"/>
      <c r="G164" s="76"/>
      <c r="H164" s="76"/>
      <c r="I164" s="76"/>
      <c r="J164" s="214"/>
      <c r="K164" s="157"/>
      <c r="L164" s="76"/>
      <c r="M164" s="78"/>
      <c r="N164" s="76"/>
      <c r="O164" s="76"/>
      <c r="P164" s="76"/>
      <c r="Q164" s="76"/>
    </row>
    <row r="165" spans="1:17" s="91" customFormat="1" ht="12" customHeight="1" x14ac:dyDescent="0.3">
      <c r="A165" s="76"/>
      <c r="B165" s="223"/>
      <c r="C165" s="76"/>
      <c r="D165" s="76"/>
      <c r="E165" s="76"/>
      <c r="F165" s="76"/>
      <c r="G165" s="76"/>
      <c r="H165" s="76"/>
      <c r="I165" s="76"/>
      <c r="J165" s="214"/>
      <c r="K165" s="157"/>
      <c r="L165" s="76"/>
      <c r="M165" s="78"/>
      <c r="N165" s="76"/>
      <c r="O165" s="76"/>
      <c r="P165" s="76"/>
      <c r="Q165" s="76"/>
    </row>
    <row r="166" spans="1:17" s="91" customFormat="1" ht="12" customHeight="1" x14ac:dyDescent="0.3">
      <c r="A166" s="76"/>
      <c r="B166" s="223"/>
      <c r="C166" s="76"/>
      <c r="D166" s="76"/>
      <c r="E166" s="76"/>
      <c r="F166" s="76"/>
      <c r="G166" s="76"/>
      <c r="H166" s="76"/>
      <c r="I166" s="76"/>
      <c r="J166" s="214"/>
      <c r="K166" s="157"/>
      <c r="L166" s="76"/>
      <c r="M166" s="78"/>
      <c r="N166" s="76"/>
      <c r="O166" s="76"/>
      <c r="P166" s="76"/>
      <c r="Q166" s="76"/>
    </row>
    <row r="167" spans="1:17" s="91" customFormat="1" ht="10.5" customHeight="1" x14ac:dyDescent="0.3">
      <c r="A167" s="76"/>
      <c r="B167" s="223"/>
      <c r="C167" s="76"/>
      <c r="D167" s="76"/>
      <c r="E167" s="76"/>
      <c r="F167" s="76"/>
      <c r="G167" s="76"/>
      <c r="H167" s="76"/>
      <c r="I167" s="76"/>
      <c r="J167" s="214"/>
      <c r="K167" s="157"/>
      <c r="L167" s="76"/>
      <c r="M167" s="78"/>
      <c r="N167" s="76"/>
      <c r="O167" s="76"/>
      <c r="P167" s="76"/>
      <c r="Q167" s="76"/>
    </row>
    <row r="168" spans="1:17" s="91" customFormat="1" ht="12" customHeight="1" x14ac:dyDescent="0.3">
      <c r="A168" s="76"/>
      <c r="B168" s="223"/>
      <c r="C168" s="76"/>
      <c r="D168" s="76"/>
      <c r="E168" s="76"/>
      <c r="F168" s="76"/>
      <c r="G168" s="76"/>
      <c r="H168" s="76"/>
      <c r="I168" s="76"/>
      <c r="J168" s="214"/>
      <c r="K168" s="157"/>
      <c r="L168" s="76"/>
      <c r="M168" s="78"/>
      <c r="N168" s="76"/>
      <c r="O168" s="76"/>
      <c r="P168" s="76"/>
      <c r="Q168" s="76"/>
    </row>
    <row r="169" spans="1:17" s="91" customFormat="1" ht="12" customHeight="1" x14ac:dyDescent="0.3">
      <c r="A169" s="76"/>
      <c r="B169" s="223"/>
      <c r="C169" s="76"/>
      <c r="D169" s="76"/>
      <c r="E169" s="76"/>
      <c r="F169" s="76"/>
      <c r="G169" s="76"/>
      <c r="H169" s="76"/>
      <c r="I169" s="76"/>
      <c r="J169" s="214"/>
      <c r="K169" s="157"/>
      <c r="L169" s="76"/>
      <c r="M169" s="78"/>
      <c r="N169" s="76"/>
      <c r="O169" s="76"/>
      <c r="P169" s="76"/>
      <c r="Q169" s="76"/>
    </row>
    <row r="170" spans="1:17" s="91" customFormat="1" ht="12" customHeight="1" x14ac:dyDescent="0.3">
      <c r="A170" s="76"/>
      <c r="B170" s="223"/>
      <c r="C170" s="76"/>
      <c r="D170" s="76"/>
      <c r="E170" s="76"/>
      <c r="F170" s="76"/>
      <c r="G170" s="76"/>
      <c r="H170" s="76"/>
      <c r="I170" s="76"/>
      <c r="J170" s="214"/>
      <c r="K170" s="157"/>
      <c r="L170" s="76"/>
      <c r="M170" s="78"/>
      <c r="N170" s="76"/>
      <c r="O170" s="76"/>
      <c r="P170" s="76"/>
      <c r="Q170" s="76"/>
    </row>
    <row r="171" spans="1:17" s="91" customFormat="1" ht="12" customHeight="1" x14ac:dyDescent="0.3">
      <c r="A171" s="76"/>
      <c r="B171" s="223"/>
      <c r="C171" s="76"/>
      <c r="D171" s="76"/>
      <c r="E171" s="76"/>
      <c r="F171" s="76"/>
      <c r="G171" s="76"/>
      <c r="H171" s="76"/>
      <c r="I171" s="76"/>
      <c r="J171" s="214"/>
      <c r="K171" s="157"/>
      <c r="L171" s="76"/>
      <c r="M171" s="78"/>
      <c r="N171" s="76"/>
      <c r="O171" s="76"/>
      <c r="P171" s="76"/>
      <c r="Q171" s="76"/>
    </row>
    <row r="172" spans="1:17" s="91" customFormat="1" ht="12" customHeight="1" x14ac:dyDescent="0.3">
      <c r="A172" s="76"/>
      <c r="B172" s="223"/>
      <c r="C172" s="76"/>
      <c r="D172" s="76"/>
      <c r="E172" s="76"/>
      <c r="F172" s="76"/>
      <c r="G172" s="76"/>
      <c r="H172" s="76"/>
      <c r="I172" s="76"/>
      <c r="J172" s="214"/>
      <c r="K172" s="157"/>
      <c r="L172" s="76"/>
      <c r="M172" s="78"/>
      <c r="N172" s="76"/>
      <c r="O172" s="76"/>
      <c r="P172" s="76"/>
      <c r="Q172" s="76"/>
    </row>
    <row r="173" spans="1:17" s="91" customFormat="1" ht="12" customHeight="1" x14ac:dyDescent="0.3">
      <c r="A173" s="76"/>
      <c r="B173" s="223"/>
      <c r="C173" s="76"/>
      <c r="D173" s="76"/>
      <c r="E173" s="76"/>
      <c r="F173" s="76"/>
      <c r="G173" s="76"/>
      <c r="H173" s="76"/>
      <c r="I173" s="76"/>
      <c r="J173" s="214"/>
      <c r="K173" s="157"/>
      <c r="L173" s="76"/>
      <c r="M173" s="78"/>
      <c r="N173" s="76"/>
      <c r="O173" s="76"/>
      <c r="P173" s="76"/>
      <c r="Q173" s="76"/>
    </row>
    <row r="174" spans="1:17" s="91" customFormat="1" ht="12" customHeight="1" x14ac:dyDescent="0.3">
      <c r="A174" s="76"/>
      <c r="B174" s="223"/>
      <c r="C174" s="76"/>
      <c r="D174" s="76"/>
      <c r="E174" s="76"/>
      <c r="F174" s="76"/>
      <c r="G174" s="76"/>
      <c r="H174" s="76"/>
      <c r="I174" s="76"/>
      <c r="J174" s="214"/>
      <c r="K174" s="157"/>
      <c r="L174" s="76"/>
      <c r="M174" s="78"/>
      <c r="N174" s="76"/>
      <c r="O174" s="76"/>
      <c r="P174" s="76"/>
      <c r="Q174" s="76"/>
    </row>
    <row r="175" spans="1:17" s="91" customFormat="1" ht="12" customHeight="1" x14ac:dyDescent="0.3">
      <c r="A175" s="76"/>
      <c r="B175" s="223"/>
      <c r="C175" s="76"/>
      <c r="D175" s="76"/>
      <c r="E175" s="76"/>
      <c r="F175" s="76"/>
      <c r="G175" s="76"/>
      <c r="H175" s="76"/>
      <c r="I175" s="76"/>
      <c r="J175" s="214"/>
      <c r="K175" s="157"/>
      <c r="L175" s="76"/>
      <c r="M175" s="78"/>
      <c r="N175" s="76"/>
      <c r="O175" s="76"/>
      <c r="P175" s="76"/>
      <c r="Q175" s="76"/>
    </row>
    <row r="176" spans="1:17" s="91" customFormat="1" ht="12" customHeight="1" x14ac:dyDescent="0.3">
      <c r="A176" s="76"/>
      <c r="B176" s="223"/>
      <c r="C176" s="76"/>
      <c r="D176" s="76"/>
      <c r="E176" s="76"/>
      <c r="F176" s="76"/>
      <c r="G176" s="76"/>
      <c r="H176" s="76"/>
      <c r="I176" s="76"/>
      <c r="J176" s="214"/>
      <c r="K176" s="157"/>
      <c r="L176" s="76"/>
      <c r="M176" s="78"/>
      <c r="N176" s="76"/>
      <c r="O176" s="76"/>
      <c r="P176" s="76"/>
      <c r="Q176" s="76"/>
    </row>
    <row r="177" spans="1:17" s="91" customFormat="1" ht="12" customHeight="1" x14ac:dyDescent="0.3">
      <c r="A177" s="76"/>
      <c r="B177" s="223"/>
      <c r="C177" s="76"/>
      <c r="D177" s="76"/>
      <c r="E177" s="76"/>
      <c r="F177" s="76"/>
      <c r="G177" s="76"/>
      <c r="H177" s="76"/>
      <c r="I177" s="76"/>
      <c r="J177" s="214"/>
      <c r="K177" s="157"/>
      <c r="L177" s="76"/>
      <c r="M177" s="78"/>
      <c r="N177" s="76"/>
      <c r="O177" s="76"/>
      <c r="P177" s="76"/>
      <c r="Q177" s="76"/>
    </row>
    <row r="178" spans="1:17" s="91" customFormat="1" ht="12" customHeight="1" x14ac:dyDescent="0.3">
      <c r="A178" s="76"/>
      <c r="B178" s="223"/>
      <c r="C178" s="76"/>
      <c r="D178" s="76"/>
      <c r="E178" s="76"/>
      <c r="F178" s="76"/>
      <c r="G178" s="76"/>
      <c r="H178" s="76"/>
      <c r="I178" s="76"/>
      <c r="J178" s="214"/>
      <c r="K178" s="157"/>
      <c r="L178" s="76"/>
      <c r="M178" s="78"/>
      <c r="N178" s="76"/>
      <c r="O178" s="76"/>
      <c r="P178" s="76"/>
      <c r="Q178" s="76"/>
    </row>
    <row r="179" spans="1:17" s="91" customFormat="1" ht="12" customHeight="1" x14ac:dyDescent="0.3">
      <c r="A179" s="76"/>
      <c r="B179" s="223"/>
      <c r="C179" s="76"/>
      <c r="D179" s="76"/>
      <c r="E179" s="76"/>
      <c r="F179" s="76"/>
      <c r="G179" s="76"/>
      <c r="H179" s="76"/>
      <c r="I179" s="76"/>
      <c r="J179" s="214"/>
      <c r="K179" s="157"/>
      <c r="L179" s="76"/>
      <c r="M179" s="78"/>
      <c r="N179" s="76"/>
      <c r="O179" s="76"/>
      <c r="P179" s="76"/>
      <c r="Q179" s="76"/>
    </row>
    <row r="180" spans="1:17" s="91" customFormat="1" ht="12" customHeight="1" x14ac:dyDescent="0.3">
      <c r="A180" s="76"/>
      <c r="B180" s="223"/>
      <c r="C180" s="76"/>
      <c r="D180" s="76"/>
      <c r="E180" s="76"/>
      <c r="F180" s="76"/>
      <c r="G180" s="76"/>
      <c r="H180" s="76"/>
      <c r="I180" s="76"/>
      <c r="J180" s="214"/>
      <c r="K180" s="157"/>
      <c r="L180" s="76"/>
      <c r="M180" s="78"/>
      <c r="N180" s="76"/>
      <c r="O180" s="76"/>
      <c r="P180" s="76"/>
      <c r="Q180" s="76"/>
    </row>
    <row r="181" spans="1:17" s="91" customFormat="1" ht="12" customHeight="1" x14ac:dyDescent="0.3">
      <c r="A181" s="76"/>
      <c r="B181" s="223"/>
      <c r="C181" s="76"/>
      <c r="D181" s="76"/>
      <c r="E181" s="76"/>
      <c r="F181" s="76"/>
      <c r="G181" s="76"/>
      <c r="H181" s="76"/>
      <c r="I181" s="76"/>
      <c r="J181" s="214"/>
      <c r="K181" s="157"/>
      <c r="L181" s="76"/>
      <c r="M181" s="78"/>
      <c r="N181" s="76"/>
      <c r="O181" s="76"/>
      <c r="P181" s="76"/>
      <c r="Q181" s="76"/>
    </row>
    <row r="182" spans="1:17" s="91" customFormat="1" ht="12" customHeight="1" x14ac:dyDescent="0.3">
      <c r="A182" s="76"/>
      <c r="B182" s="223"/>
      <c r="C182" s="76"/>
      <c r="D182" s="76"/>
      <c r="E182" s="76"/>
      <c r="F182" s="76"/>
      <c r="G182" s="76"/>
      <c r="H182" s="76"/>
      <c r="I182" s="76"/>
      <c r="J182" s="214"/>
      <c r="K182" s="157"/>
      <c r="L182" s="76"/>
      <c r="M182" s="78"/>
      <c r="N182" s="76"/>
      <c r="O182" s="76"/>
      <c r="P182" s="76"/>
      <c r="Q182" s="76"/>
    </row>
    <row r="183" spans="1:17" s="91" customFormat="1" ht="12" customHeight="1" x14ac:dyDescent="0.3">
      <c r="A183" s="76"/>
      <c r="B183" s="223"/>
      <c r="C183" s="76"/>
      <c r="D183" s="76"/>
      <c r="E183" s="76"/>
      <c r="F183" s="76"/>
      <c r="G183" s="76"/>
      <c r="H183" s="76"/>
      <c r="I183" s="76"/>
      <c r="J183" s="214"/>
      <c r="K183" s="157"/>
      <c r="L183" s="76"/>
      <c r="M183" s="78"/>
      <c r="N183" s="76"/>
      <c r="O183" s="76"/>
      <c r="P183" s="76"/>
      <c r="Q183" s="76"/>
    </row>
    <row r="184" spans="1:17" s="91" customFormat="1" ht="12" customHeight="1" x14ac:dyDescent="0.3">
      <c r="A184" s="76"/>
      <c r="B184" s="223"/>
      <c r="C184" s="76"/>
      <c r="D184" s="76"/>
      <c r="E184" s="76"/>
      <c r="F184" s="76"/>
      <c r="G184" s="76"/>
      <c r="H184" s="76"/>
      <c r="I184" s="76"/>
      <c r="J184" s="214"/>
      <c r="K184" s="157"/>
      <c r="L184" s="76"/>
      <c r="M184" s="78"/>
      <c r="N184" s="76"/>
      <c r="O184" s="76"/>
      <c r="P184" s="76"/>
      <c r="Q184" s="76"/>
    </row>
    <row r="185" spans="1:17" s="91" customFormat="1" ht="12" customHeight="1" x14ac:dyDescent="0.3">
      <c r="A185" s="76"/>
      <c r="B185" s="223"/>
      <c r="C185" s="76"/>
      <c r="D185" s="76"/>
      <c r="E185" s="76"/>
      <c r="F185" s="76"/>
      <c r="G185" s="76"/>
      <c r="H185" s="76"/>
      <c r="I185" s="76"/>
      <c r="J185" s="214"/>
      <c r="K185" s="157"/>
      <c r="L185" s="76"/>
      <c r="M185" s="78"/>
      <c r="N185" s="76"/>
      <c r="O185" s="76"/>
      <c r="P185" s="76"/>
      <c r="Q185" s="76"/>
    </row>
    <row r="186" spans="1:17" s="91" customFormat="1" ht="12" customHeight="1" x14ac:dyDescent="0.3">
      <c r="A186" s="76"/>
      <c r="B186" s="223"/>
      <c r="C186" s="76"/>
      <c r="D186" s="76"/>
      <c r="E186" s="76"/>
      <c r="F186" s="76"/>
      <c r="G186" s="76"/>
      <c r="H186" s="76"/>
      <c r="I186" s="76"/>
      <c r="J186" s="214"/>
      <c r="K186" s="157"/>
      <c r="L186" s="76"/>
      <c r="M186" s="78"/>
      <c r="N186" s="76"/>
      <c r="O186" s="76"/>
      <c r="P186" s="76"/>
      <c r="Q186" s="76"/>
    </row>
    <row r="187" spans="1:17" s="91" customFormat="1" ht="12" customHeight="1" x14ac:dyDescent="0.3">
      <c r="A187" s="76"/>
      <c r="B187" s="223"/>
      <c r="C187" s="76"/>
      <c r="D187" s="76"/>
      <c r="E187" s="76"/>
      <c r="F187" s="76"/>
      <c r="G187" s="76"/>
      <c r="H187" s="76"/>
      <c r="I187" s="76"/>
      <c r="J187" s="214"/>
      <c r="K187" s="157"/>
      <c r="L187" s="76"/>
      <c r="M187" s="78"/>
      <c r="N187" s="76"/>
      <c r="O187" s="76"/>
      <c r="P187" s="76"/>
      <c r="Q187" s="76"/>
    </row>
    <row r="188" spans="1:17" s="91" customFormat="1" ht="12" customHeight="1" x14ac:dyDescent="0.3">
      <c r="A188" s="76"/>
      <c r="B188" s="223"/>
      <c r="C188" s="76"/>
      <c r="D188" s="76"/>
      <c r="E188" s="76"/>
      <c r="F188" s="76"/>
      <c r="G188" s="76"/>
      <c r="H188" s="76"/>
      <c r="I188" s="76"/>
      <c r="J188" s="214"/>
      <c r="K188" s="157"/>
      <c r="L188" s="76"/>
      <c r="M188" s="78"/>
      <c r="N188" s="76"/>
      <c r="O188" s="76"/>
      <c r="P188" s="76"/>
      <c r="Q188" s="76"/>
    </row>
    <row r="189" spans="1:17" s="91" customFormat="1" ht="12" customHeight="1" x14ac:dyDescent="0.3">
      <c r="A189" s="76"/>
      <c r="B189" s="223"/>
      <c r="C189" s="76"/>
      <c r="D189" s="76"/>
      <c r="E189" s="76"/>
      <c r="F189" s="76"/>
      <c r="G189" s="76"/>
      <c r="H189" s="76"/>
      <c r="I189" s="76"/>
      <c r="J189" s="214"/>
      <c r="K189" s="157"/>
      <c r="L189" s="76"/>
      <c r="M189" s="78"/>
      <c r="N189" s="76"/>
      <c r="O189" s="76"/>
      <c r="P189" s="76"/>
      <c r="Q189" s="76"/>
    </row>
    <row r="190" spans="1:17" s="91" customFormat="1" ht="12" customHeight="1" x14ac:dyDescent="0.3">
      <c r="A190" s="76"/>
      <c r="B190" s="223"/>
      <c r="C190" s="76"/>
      <c r="D190" s="76"/>
      <c r="E190" s="76"/>
      <c r="F190" s="76"/>
      <c r="G190" s="76"/>
      <c r="H190" s="76"/>
      <c r="I190" s="76"/>
      <c r="J190" s="214"/>
      <c r="K190" s="157"/>
      <c r="L190" s="76"/>
      <c r="M190" s="78"/>
      <c r="N190" s="76"/>
      <c r="O190" s="76"/>
      <c r="P190" s="76"/>
      <c r="Q190" s="76"/>
    </row>
    <row r="191" spans="1:17" s="91" customFormat="1" ht="12" customHeight="1" x14ac:dyDescent="0.3">
      <c r="A191" s="76"/>
      <c r="B191" s="223"/>
      <c r="C191" s="76"/>
      <c r="D191" s="76"/>
      <c r="E191" s="76"/>
      <c r="F191" s="76"/>
      <c r="G191" s="76"/>
      <c r="H191" s="76"/>
      <c r="I191" s="76"/>
      <c r="J191" s="214"/>
      <c r="K191" s="157"/>
      <c r="L191" s="76"/>
      <c r="M191" s="78"/>
      <c r="N191" s="76"/>
      <c r="O191" s="76"/>
      <c r="P191" s="76"/>
      <c r="Q191" s="76"/>
    </row>
    <row r="192" spans="1:17" s="91" customFormat="1" ht="12" customHeight="1" x14ac:dyDescent="0.3">
      <c r="A192" s="76"/>
      <c r="B192" s="223"/>
      <c r="C192" s="76"/>
      <c r="D192" s="76"/>
      <c r="E192" s="76"/>
      <c r="F192" s="76"/>
      <c r="G192" s="76"/>
      <c r="H192" s="76"/>
      <c r="I192" s="76"/>
      <c r="J192" s="214"/>
      <c r="K192" s="157"/>
      <c r="L192" s="76"/>
      <c r="M192" s="78"/>
      <c r="N192" s="76"/>
      <c r="O192" s="76"/>
      <c r="P192" s="76"/>
      <c r="Q192" s="76"/>
    </row>
    <row r="193" spans="1:17" s="91" customFormat="1" ht="12" customHeight="1" x14ac:dyDescent="0.3">
      <c r="A193" s="76"/>
      <c r="B193" s="223"/>
      <c r="C193" s="76"/>
      <c r="D193" s="76"/>
      <c r="E193" s="76"/>
      <c r="F193" s="76"/>
      <c r="G193" s="76"/>
      <c r="H193" s="76"/>
      <c r="I193" s="76"/>
      <c r="J193" s="214"/>
      <c r="K193" s="157"/>
      <c r="L193" s="76"/>
      <c r="M193" s="78"/>
      <c r="N193" s="76"/>
      <c r="O193" s="76"/>
      <c r="P193" s="76"/>
      <c r="Q193" s="76"/>
    </row>
    <row r="194" spans="1:17" s="91" customFormat="1" ht="12" customHeight="1" x14ac:dyDescent="0.3">
      <c r="A194" s="76"/>
      <c r="B194" s="223"/>
      <c r="C194" s="76"/>
      <c r="D194" s="76"/>
      <c r="E194" s="76"/>
      <c r="F194" s="76"/>
      <c r="G194" s="76"/>
      <c r="H194" s="76"/>
      <c r="I194" s="76"/>
      <c r="J194" s="214"/>
      <c r="K194" s="157"/>
      <c r="L194" s="76"/>
      <c r="M194" s="78"/>
      <c r="N194" s="76"/>
      <c r="O194" s="76"/>
      <c r="P194" s="76"/>
      <c r="Q194" s="76"/>
    </row>
    <row r="195" spans="1:17" s="91" customFormat="1" ht="12" customHeight="1" x14ac:dyDescent="0.3">
      <c r="A195" s="76"/>
      <c r="B195" s="223"/>
      <c r="C195" s="76"/>
      <c r="D195" s="76"/>
      <c r="E195" s="76"/>
      <c r="F195" s="76"/>
      <c r="G195" s="76"/>
      <c r="H195" s="76"/>
      <c r="I195" s="76"/>
      <c r="J195" s="214"/>
      <c r="K195" s="157"/>
      <c r="L195" s="76"/>
      <c r="M195" s="78"/>
      <c r="N195" s="76"/>
      <c r="O195" s="76"/>
      <c r="P195" s="76"/>
      <c r="Q195" s="76"/>
    </row>
    <row r="196" spans="1:17" s="91" customFormat="1" ht="12" customHeight="1" x14ac:dyDescent="0.3">
      <c r="A196" s="76"/>
      <c r="B196" s="223"/>
      <c r="C196" s="76"/>
      <c r="D196" s="76"/>
      <c r="E196" s="76"/>
      <c r="F196" s="76"/>
      <c r="G196" s="76"/>
      <c r="H196" s="76"/>
      <c r="I196" s="76"/>
      <c r="J196" s="214"/>
      <c r="K196" s="157"/>
      <c r="L196" s="76"/>
      <c r="M196" s="78"/>
      <c r="N196" s="76"/>
      <c r="O196" s="76"/>
      <c r="P196" s="76"/>
      <c r="Q196" s="76"/>
    </row>
    <row r="197" spans="1:17" s="91" customFormat="1" ht="12" customHeight="1" x14ac:dyDescent="0.3">
      <c r="A197" s="76"/>
      <c r="B197" s="223"/>
      <c r="C197" s="76"/>
      <c r="D197" s="76"/>
      <c r="E197" s="76"/>
      <c r="F197" s="76"/>
      <c r="G197" s="76"/>
      <c r="H197" s="76"/>
      <c r="I197" s="76"/>
      <c r="J197" s="214"/>
      <c r="K197" s="157"/>
      <c r="L197" s="76"/>
      <c r="M197" s="78"/>
      <c r="N197" s="76"/>
      <c r="O197" s="76"/>
      <c r="P197" s="76"/>
      <c r="Q197" s="76"/>
    </row>
    <row r="198" spans="1:17" s="91" customFormat="1" ht="12" customHeight="1" x14ac:dyDescent="0.3">
      <c r="A198" s="76"/>
      <c r="B198" s="223"/>
      <c r="C198" s="76"/>
      <c r="D198" s="76"/>
      <c r="E198" s="76"/>
      <c r="F198" s="76"/>
      <c r="G198" s="76"/>
      <c r="H198" s="76"/>
      <c r="I198" s="76"/>
      <c r="J198" s="214"/>
      <c r="K198" s="157"/>
      <c r="L198" s="76"/>
      <c r="M198" s="78"/>
      <c r="N198" s="76"/>
      <c r="O198" s="76"/>
      <c r="P198" s="76"/>
      <c r="Q198" s="76"/>
    </row>
    <row r="199" spans="1:17" s="91" customFormat="1" ht="12" customHeight="1" x14ac:dyDescent="0.3">
      <c r="A199" s="76"/>
      <c r="B199" s="223"/>
      <c r="C199" s="76"/>
      <c r="D199" s="76"/>
      <c r="E199" s="76"/>
      <c r="F199" s="76"/>
      <c r="G199" s="76"/>
      <c r="H199" s="76"/>
      <c r="I199" s="76"/>
      <c r="J199" s="214"/>
      <c r="K199" s="157"/>
      <c r="L199" s="76"/>
      <c r="M199" s="78"/>
      <c r="N199" s="76"/>
      <c r="O199" s="76"/>
      <c r="P199" s="76"/>
      <c r="Q199" s="76"/>
    </row>
    <row r="200" spans="1:17" s="91" customFormat="1" ht="12" customHeight="1" x14ac:dyDescent="0.3">
      <c r="A200" s="76"/>
      <c r="B200" s="223"/>
      <c r="C200" s="76"/>
      <c r="D200" s="76"/>
      <c r="E200" s="76"/>
      <c r="F200" s="76"/>
      <c r="G200" s="76"/>
      <c r="H200" s="76"/>
      <c r="I200" s="76"/>
      <c r="J200" s="214"/>
      <c r="K200" s="157"/>
      <c r="L200" s="76"/>
      <c r="M200" s="78"/>
      <c r="N200" s="76"/>
      <c r="O200" s="76"/>
      <c r="P200" s="76"/>
      <c r="Q200" s="76"/>
    </row>
    <row r="201" spans="1:17" s="91" customFormat="1" ht="12" customHeight="1" x14ac:dyDescent="0.3">
      <c r="A201" s="76"/>
      <c r="B201" s="223"/>
      <c r="C201" s="76"/>
      <c r="D201" s="76"/>
      <c r="E201" s="76"/>
      <c r="F201" s="76"/>
      <c r="G201" s="76"/>
      <c r="H201" s="76"/>
      <c r="I201" s="76"/>
      <c r="J201" s="214"/>
      <c r="K201" s="157"/>
      <c r="L201" s="76"/>
      <c r="M201" s="78"/>
      <c r="N201" s="76"/>
      <c r="O201" s="76"/>
      <c r="P201" s="76"/>
      <c r="Q201" s="76"/>
    </row>
    <row r="202" spans="1:17" s="91" customFormat="1" ht="12" customHeight="1" x14ac:dyDescent="0.3">
      <c r="A202" s="76"/>
      <c r="B202" s="223"/>
      <c r="C202" s="76"/>
      <c r="D202" s="76"/>
      <c r="E202" s="76"/>
      <c r="F202" s="76"/>
      <c r="G202" s="76"/>
      <c r="H202" s="76"/>
      <c r="I202" s="76"/>
      <c r="J202" s="214"/>
      <c r="K202" s="157"/>
      <c r="L202" s="76"/>
      <c r="M202" s="78"/>
      <c r="N202" s="76"/>
      <c r="O202" s="76"/>
      <c r="P202" s="76"/>
      <c r="Q202" s="76"/>
    </row>
    <row r="203" spans="1:17" s="91" customFormat="1" ht="12" customHeight="1" x14ac:dyDescent="0.3">
      <c r="A203" s="76"/>
      <c r="B203" s="223"/>
      <c r="C203" s="76"/>
      <c r="D203" s="76"/>
      <c r="E203" s="76"/>
      <c r="F203" s="76"/>
      <c r="G203" s="76"/>
      <c r="H203" s="76"/>
      <c r="I203" s="76"/>
      <c r="J203" s="214"/>
      <c r="K203" s="157"/>
      <c r="L203" s="76"/>
      <c r="M203" s="78"/>
      <c r="N203" s="76"/>
      <c r="O203" s="76"/>
      <c r="P203" s="76"/>
      <c r="Q203" s="76"/>
    </row>
    <row r="204" spans="1:17" s="91" customFormat="1" ht="12" customHeight="1" x14ac:dyDescent="0.3">
      <c r="A204" s="76"/>
      <c r="B204" s="223"/>
      <c r="C204" s="76"/>
      <c r="D204" s="76"/>
      <c r="E204" s="76"/>
      <c r="F204" s="76"/>
      <c r="G204" s="76"/>
      <c r="H204" s="76"/>
      <c r="I204" s="76"/>
      <c r="J204" s="214"/>
      <c r="K204" s="157"/>
      <c r="L204" s="76"/>
      <c r="M204" s="78"/>
      <c r="N204" s="76"/>
      <c r="O204" s="76"/>
      <c r="P204" s="76"/>
      <c r="Q204" s="76"/>
    </row>
    <row r="205" spans="1:17" s="91" customFormat="1" ht="12" customHeight="1" x14ac:dyDescent="0.3">
      <c r="A205" s="76"/>
      <c r="B205" s="223"/>
      <c r="C205" s="76"/>
      <c r="D205" s="76"/>
      <c r="E205" s="76"/>
      <c r="F205" s="76"/>
      <c r="G205" s="76"/>
      <c r="H205" s="76"/>
      <c r="I205" s="76"/>
      <c r="J205" s="214"/>
      <c r="K205" s="157"/>
      <c r="L205" s="76"/>
      <c r="M205" s="78"/>
      <c r="N205" s="76"/>
      <c r="O205" s="76"/>
      <c r="P205" s="76"/>
      <c r="Q205" s="76"/>
    </row>
    <row r="206" spans="1:17" s="91" customFormat="1" ht="12" customHeight="1" x14ac:dyDescent="0.3">
      <c r="A206" s="76"/>
      <c r="B206" s="223"/>
      <c r="C206" s="76"/>
      <c r="D206" s="76"/>
      <c r="E206" s="76"/>
      <c r="F206" s="76"/>
      <c r="G206" s="76"/>
      <c r="H206" s="76"/>
      <c r="I206" s="76"/>
      <c r="J206" s="214"/>
      <c r="K206" s="157"/>
      <c r="L206" s="76"/>
      <c r="M206" s="78"/>
      <c r="N206" s="76"/>
      <c r="O206" s="76"/>
      <c r="P206" s="76"/>
      <c r="Q206" s="76"/>
    </row>
    <row r="207" spans="1:17" s="91" customFormat="1" ht="12" customHeight="1" x14ac:dyDescent="0.3">
      <c r="A207" s="76"/>
      <c r="B207" s="223"/>
      <c r="C207" s="76"/>
      <c r="D207" s="76"/>
      <c r="E207" s="76"/>
      <c r="F207" s="76"/>
      <c r="G207" s="76"/>
      <c r="H207" s="76"/>
      <c r="I207" s="76"/>
      <c r="J207" s="214"/>
      <c r="K207" s="157"/>
      <c r="L207" s="76"/>
      <c r="M207" s="78"/>
      <c r="N207" s="76"/>
      <c r="O207" s="76"/>
      <c r="P207" s="76"/>
      <c r="Q207" s="76"/>
    </row>
    <row r="208" spans="1:17" s="91" customFormat="1" ht="12" customHeight="1" x14ac:dyDescent="0.3">
      <c r="A208" s="76"/>
      <c r="B208" s="223"/>
      <c r="C208" s="76"/>
      <c r="D208" s="76"/>
      <c r="E208" s="76"/>
      <c r="F208" s="76"/>
      <c r="G208" s="76"/>
      <c r="H208" s="76"/>
      <c r="I208" s="76"/>
      <c r="J208" s="214"/>
      <c r="K208" s="157"/>
      <c r="L208" s="76"/>
      <c r="M208" s="78"/>
      <c r="N208" s="76"/>
      <c r="O208" s="76"/>
      <c r="P208" s="76"/>
      <c r="Q208" s="76"/>
    </row>
    <row r="209" spans="1:17" s="91" customFormat="1" ht="12" customHeight="1" x14ac:dyDescent="0.3">
      <c r="A209" s="76"/>
      <c r="B209" s="223"/>
      <c r="C209" s="76"/>
      <c r="D209" s="76"/>
      <c r="E209" s="76"/>
      <c r="F209" s="76"/>
      <c r="G209" s="76"/>
      <c r="H209" s="76"/>
      <c r="I209" s="76"/>
      <c r="J209" s="214"/>
      <c r="K209" s="157"/>
      <c r="L209" s="76"/>
      <c r="M209" s="78"/>
      <c r="N209" s="76"/>
      <c r="O209" s="76"/>
      <c r="P209" s="76"/>
      <c r="Q209" s="76"/>
    </row>
    <row r="210" spans="1:17" s="91" customFormat="1" ht="12" customHeight="1" x14ac:dyDescent="0.3">
      <c r="A210" s="76"/>
      <c r="B210" s="223"/>
      <c r="C210" s="76"/>
      <c r="D210" s="76"/>
      <c r="E210" s="76"/>
      <c r="F210" s="76"/>
      <c r="G210" s="76"/>
      <c r="H210" s="76"/>
      <c r="I210" s="76"/>
      <c r="J210" s="214"/>
      <c r="K210" s="157"/>
      <c r="L210" s="76"/>
      <c r="M210" s="78"/>
      <c r="N210" s="76"/>
      <c r="O210" s="76"/>
      <c r="P210" s="76"/>
      <c r="Q210" s="76"/>
    </row>
    <row r="211" spans="1:17" s="91" customFormat="1" ht="12" customHeight="1" x14ac:dyDescent="0.3">
      <c r="A211" s="76"/>
      <c r="B211" s="223"/>
      <c r="C211" s="76"/>
      <c r="D211" s="76"/>
      <c r="E211" s="76"/>
      <c r="F211" s="76"/>
      <c r="G211" s="76"/>
      <c r="H211" s="76"/>
      <c r="I211" s="76"/>
      <c r="J211" s="214"/>
      <c r="K211" s="157"/>
      <c r="L211" s="76"/>
      <c r="M211" s="78"/>
      <c r="N211" s="76"/>
      <c r="O211" s="76"/>
      <c r="P211" s="76"/>
      <c r="Q211" s="76"/>
    </row>
    <row r="212" spans="1:17" s="91" customFormat="1" ht="12" customHeight="1" x14ac:dyDescent="0.3">
      <c r="A212" s="76"/>
      <c r="B212" s="223"/>
      <c r="C212" s="76"/>
      <c r="D212" s="76"/>
      <c r="E212" s="76"/>
      <c r="F212" s="76"/>
      <c r="G212" s="76"/>
      <c r="H212" s="76"/>
      <c r="I212" s="76"/>
      <c r="J212" s="214"/>
      <c r="K212" s="157"/>
      <c r="L212" s="76"/>
      <c r="M212" s="78"/>
      <c r="N212" s="76"/>
      <c r="O212" s="76"/>
      <c r="P212" s="76"/>
      <c r="Q212" s="76"/>
    </row>
    <row r="213" spans="1:17" s="91" customFormat="1" ht="12" customHeight="1" x14ac:dyDescent="0.3">
      <c r="A213" s="76"/>
      <c r="B213" s="223"/>
      <c r="C213" s="76"/>
      <c r="D213" s="76"/>
      <c r="E213" s="76"/>
      <c r="F213" s="76"/>
      <c r="G213" s="76"/>
      <c r="H213" s="76"/>
      <c r="I213" s="76"/>
      <c r="J213" s="214"/>
      <c r="K213" s="157"/>
      <c r="L213" s="76"/>
      <c r="M213" s="78"/>
      <c r="N213" s="76"/>
      <c r="O213" s="76"/>
      <c r="P213" s="76"/>
      <c r="Q213" s="76"/>
    </row>
    <row r="214" spans="1:17" s="91" customFormat="1" ht="12" customHeight="1" x14ac:dyDescent="0.3">
      <c r="A214" s="76"/>
      <c r="B214" s="223"/>
      <c r="C214" s="76"/>
      <c r="D214" s="76"/>
      <c r="E214" s="76"/>
      <c r="F214" s="76"/>
      <c r="G214" s="76"/>
      <c r="H214" s="76"/>
      <c r="I214" s="76"/>
      <c r="J214" s="214"/>
      <c r="K214" s="157"/>
      <c r="L214" s="76"/>
      <c r="M214" s="78"/>
      <c r="N214" s="76"/>
      <c r="O214" s="76"/>
      <c r="P214" s="76"/>
      <c r="Q214" s="76"/>
    </row>
    <row r="215" spans="1:17" s="91" customFormat="1" ht="12" customHeight="1" x14ac:dyDescent="0.3">
      <c r="A215" s="76"/>
      <c r="B215" s="223"/>
      <c r="C215" s="76"/>
      <c r="D215" s="76"/>
      <c r="E215" s="76"/>
      <c r="F215" s="76"/>
      <c r="G215" s="76"/>
      <c r="H215" s="76"/>
      <c r="I215" s="76"/>
      <c r="J215" s="214"/>
      <c r="K215" s="157"/>
      <c r="L215" s="76"/>
      <c r="M215" s="78"/>
      <c r="N215" s="76"/>
      <c r="O215" s="76"/>
      <c r="P215" s="76"/>
      <c r="Q215" s="76"/>
    </row>
    <row r="216" spans="1:17" s="91" customFormat="1" ht="12" customHeight="1" x14ac:dyDescent="0.3">
      <c r="A216" s="76"/>
      <c r="B216" s="223"/>
      <c r="C216" s="76"/>
      <c r="D216" s="76"/>
      <c r="E216" s="76"/>
      <c r="F216" s="76"/>
      <c r="G216" s="76"/>
      <c r="H216" s="76"/>
      <c r="I216" s="76"/>
      <c r="J216" s="214"/>
      <c r="K216" s="157"/>
      <c r="L216" s="76"/>
      <c r="M216" s="78"/>
      <c r="N216" s="76"/>
      <c r="O216" s="76"/>
      <c r="P216" s="76"/>
      <c r="Q216" s="76"/>
    </row>
    <row r="217" spans="1:17" s="91" customFormat="1" ht="12" customHeight="1" x14ac:dyDescent="0.3">
      <c r="A217" s="76"/>
      <c r="B217" s="223"/>
      <c r="C217" s="76"/>
      <c r="D217" s="76"/>
      <c r="E217" s="76"/>
      <c r="F217" s="76"/>
      <c r="G217" s="76"/>
      <c r="H217" s="76"/>
      <c r="I217" s="76"/>
      <c r="J217" s="214"/>
      <c r="K217" s="157"/>
      <c r="L217" s="76"/>
      <c r="M217" s="78"/>
      <c r="N217" s="76"/>
      <c r="O217" s="76"/>
      <c r="P217" s="76"/>
      <c r="Q217" s="76"/>
    </row>
    <row r="218" spans="1:17" s="91" customFormat="1" ht="12" customHeight="1" x14ac:dyDescent="0.3">
      <c r="A218" s="76"/>
      <c r="B218" s="223"/>
      <c r="C218" s="76"/>
      <c r="D218" s="76"/>
      <c r="E218" s="76"/>
      <c r="F218" s="76"/>
      <c r="G218" s="76"/>
      <c r="H218" s="76"/>
      <c r="I218" s="76"/>
      <c r="J218" s="214"/>
      <c r="K218" s="157"/>
      <c r="L218" s="76"/>
      <c r="M218" s="78"/>
      <c r="N218" s="76"/>
      <c r="O218" s="76"/>
      <c r="P218" s="76"/>
      <c r="Q218" s="76"/>
    </row>
    <row r="219" spans="1:17" s="91" customFormat="1" ht="13.5" customHeight="1" x14ac:dyDescent="0.3">
      <c r="A219" s="76"/>
      <c r="B219" s="223"/>
      <c r="C219" s="76"/>
      <c r="D219" s="76"/>
      <c r="E219" s="76"/>
      <c r="F219" s="76"/>
      <c r="G219" s="76"/>
      <c r="H219" s="76"/>
      <c r="I219" s="76"/>
      <c r="J219" s="214"/>
      <c r="K219" s="157"/>
      <c r="L219" s="76"/>
      <c r="M219" s="78"/>
      <c r="N219" s="76"/>
      <c r="O219" s="76"/>
      <c r="P219" s="76"/>
      <c r="Q219" s="76"/>
    </row>
    <row r="220" spans="1:17" s="91" customFormat="1" ht="12" customHeight="1" x14ac:dyDescent="0.3">
      <c r="A220" s="76"/>
      <c r="B220" s="223"/>
      <c r="C220" s="76"/>
      <c r="D220" s="76"/>
      <c r="E220" s="76"/>
      <c r="F220" s="76"/>
      <c r="G220" s="76"/>
      <c r="H220" s="76"/>
      <c r="I220" s="76"/>
      <c r="J220" s="214"/>
      <c r="K220" s="157"/>
      <c r="L220" s="76"/>
      <c r="M220" s="78"/>
      <c r="N220" s="76"/>
      <c r="O220" s="76"/>
      <c r="P220" s="76"/>
      <c r="Q220" s="76"/>
    </row>
    <row r="221" spans="1:17" s="91" customFormat="1" ht="12" customHeight="1" x14ac:dyDescent="0.3">
      <c r="A221" s="76"/>
      <c r="B221" s="223"/>
      <c r="C221" s="76"/>
      <c r="D221" s="76"/>
      <c r="E221" s="76"/>
      <c r="F221" s="76"/>
      <c r="G221" s="76"/>
      <c r="H221" s="76"/>
      <c r="I221" s="76"/>
      <c r="J221" s="214"/>
      <c r="K221" s="157"/>
      <c r="L221" s="76"/>
      <c r="M221" s="78"/>
      <c r="N221" s="76"/>
      <c r="O221" s="76"/>
      <c r="P221" s="76"/>
      <c r="Q221" s="76"/>
    </row>
    <row r="222" spans="1:17" s="91" customFormat="1" ht="12" customHeight="1" x14ac:dyDescent="0.3">
      <c r="A222" s="76"/>
      <c r="B222" s="223"/>
      <c r="C222" s="76"/>
      <c r="D222" s="76"/>
      <c r="E222" s="76"/>
      <c r="F222" s="76"/>
      <c r="G222" s="76"/>
      <c r="H222" s="76"/>
      <c r="I222" s="76"/>
      <c r="J222" s="214"/>
      <c r="K222" s="157"/>
      <c r="L222" s="76"/>
      <c r="M222" s="78"/>
      <c r="N222" s="76"/>
      <c r="O222" s="76"/>
      <c r="P222" s="76"/>
      <c r="Q222" s="76"/>
    </row>
    <row r="223" spans="1:17" s="91" customFormat="1" ht="12" customHeight="1" x14ac:dyDescent="0.3">
      <c r="A223" s="76"/>
      <c r="B223" s="223"/>
      <c r="C223" s="76"/>
      <c r="D223" s="76"/>
      <c r="E223" s="76"/>
      <c r="F223" s="76"/>
      <c r="G223" s="76"/>
      <c r="H223" s="76"/>
      <c r="I223" s="76"/>
      <c r="J223" s="214"/>
      <c r="K223" s="157"/>
      <c r="L223" s="76"/>
      <c r="M223" s="78"/>
      <c r="N223" s="76"/>
      <c r="O223" s="76"/>
      <c r="P223" s="76"/>
      <c r="Q223" s="76"/>
    </row>
    <row r="224" spans="1:17" s="91" customFormat="1" ht="12" customHeight="1" x14ac:dyDescent="0.3">
      <c r="A224" s="76"/>
      <c r="B224" s="223"/>
      <c r="C224" s="76"/>
      <c r="D224" s="76"/>
      <c r="E224" s="76"/>
      <c r="F224" s="76"/>
      <c r="G224" s="76"/>
      <c r="H224" s="76"/>
      <c r="I224" s="76"/>
      <c r="J224" s="214"/>
      <c r="K224" s="157"/>
      <c r="L224" s="76"/>
      <c r="M224" s="78"/>
      <c r="N224" s="76"/>
      <c r="O224" s="76"/>
      <c r="P224" s="76"/>
      <c r="Q224" s="76"/>
    </row>
    <row r="225" spans="1:17" s="91" customFormat="1" ht="12" customHeight="1" x14ac:dyDescent="0.3">
      <c r="A225" s="76"/>
      <c r="B225" s="223"/>
      <c r="C225" s="76"/>
      <c r="D225" s="76"/>
      <c r="E225" s="76"/>
      <c r="F225" s="76"/>
      <c r="G225" s="76"/>
      <c r="H225" s="76"/>
      <c r="I225" s="76"/>
      <c r="J225" s="214"/>
      <c r="K225" s="157"/>
      <c r="L225" s="76"/>
      <c r="M225" s="78"/>
      <c r="N225" s="76"/>
      <c r="O225" s="76"/>
      <c r="P225" s="76"/>
      <c r="Q225" s="76"/>
    </row>
    <row r="226" spans="1:17" s="91" customFormat="1" ht="12" customHeight="1" x14ac:dyDescent="0.3">
      <c r="A226" s="76"/>
      <c r="B226" s="223"/>
      <c r="C226" s="76"/>
      <c r="D226" s="76"/>
      <c r="E226" s="76"/>
      <c r="F226" s="76"/>
      <c r="G226" s="76"/>
      <c r="H226" s="76"/>
      <c r="I226" s="76"/>
      <c r="J226" s="214"/>
      <c r="K226" s="157"/>
      <c r="L226" s="76"/>
      <c r="M226" s="78"/>
      <c r="N226" s="76"/>
      <c r="O226" s="76"/>
      <c r="P226" s="76"/>
      <c r="Q226" s="76"/>
    </row>
    <row r="227" spans="1:17" s="91" customFormat="1" ht="12" customHeight="1" x14ac:dyDescent="0.3">
      <c r="A227" s="76"/>
      <c r="B227" s="223"/>
      <c r="C227" s="76"/>
      <c r="D227" s="76"/>
      <c r="E227" s="76"/>
      <c r="F227" s="76"/>
      <c r="G227" s="76"/>
      <c r="H227" s="76"/>
      <c r="I227" s="76"/>
      <c r="J227" s="214"/>
      <c r="K227" s="157"/>
      <c r="L227" s="76"/>
      <c r="M227" s="78"/>
      <c r="N227" s="76"/>
      <c r="O227" s="76"/>
      <c r="P227" s="76"/>
      <c r="Q227" s="76"/>
    </row>
    <row r="228" spans="1:17" s="91" customFormat="1" ht="12" customHeight="1" x14ac:dyDescent="0.3">
      <c r="A228" s="76"/>
      <c r="B228" s="223"/>
      <c r="C228" s="76"/>
      <c r="D228" s="76"/>
      <c r="E228" s="76"/>
      <c r="F228" s="76"/>
      <c r="G228" s="76"/>
      <c r="H228" s="76"/>
      <c r="I228" s="76"/>
      <c r="J228" s="214"/>
      <c r="K228" s="157"/>
      <c r="L228" s="76"/>
      <c r="M228" s="78"/>
      <c r="N228" s="76"/>
      <c r="O228" s="76"/>
      <c r="P228" s="76"/>
      <c r="Q228" s="76"/>
    </row>
    <row r="229" spans="1:17" s="91" customFormat="1" ht="12" customHeight="1" x14ac:dyDescent="0.3">
      <c r="A229" s="76"/>
      <c r="B229" s="223"/>
      <c r="C229" s="76"/>
      <c r="D229" s="76"/>
      <c r="E229" s="76"/>
      <c r="F229" s="76"/>
      <c r="G229" s="76"/>
      <c r="H229" s="76"/>
      <c r="I229" s="76"/>
      <c r="J229" s="214"/>
      <c r="K229" s="157"/>
      <c r="L229" s="76"/>
      <c r="M229" s="78"/>
      <c r="N229" s="76"/>
      <c r="O229" s="76"/>
      <c r="P229" s="76"/>
      <c r="Q229" s="76"/>
    </row>
    <row r="230" spans="1:17" s="91" customFormat="1" ht="12" customHeight="1" x14ac:dyDescent="0.3">
      <c r="A230" s="76"/>
      <c r="B230" s="223"/>
      <c r="C230" s="76"/>
      <c r="D230" s="76"/>
      <c r="E230" s="76"/>
      <c r="F230" s="76"/>
      <c r="G230" s="76"/>
      <c r="H230" s="76"/>
      <c r="I230" s="76"/>
      <c r="J230" s="214"/>
      <c r="K230" s="157"/>
      <c r="L230" s="76"/>
      <c r="M230" s="78"/>
      <c r="N230" s="76"/>
      <c r="O230" s="76"/>
      <c r="P230" s="76"/>
      <c r="Q230" s="76"/>
    </row>
    <row r="231" spans="1:17" s="91" customFormat="1" ht="12" customHeight="1" x14ac:dyDescent="0.3">
      <c r="A231" s="109"/>
      <c r="B231" s="223"/>
      <c r="C231" s="76"/>
      <c r="D231" s="76"/>
      <c r="E231" s="76"/>
      <c r="F231" s="76"/>
      <c r="G231" s="76"/>
      <c r="H231" s="76"/>
      <c r="I231" s="76"/>
      <c r="J231" s="214"/>
      <c r="K231" s="157"/>
      <c r="L231" s="76"/>
      <c r="M231" s="78"/>
      <c r="N231" s="76"/>
      <c r="O231" s="76"/>
      <c r="P231" s="76"/>
      <c r="Q231" s="76"/>
    </row>
    <row r="232" spans="1:17" s="91" customFormat="1" ht="12" customHeight="1" x14ac:dyDescent="0.3">
      <c r="A232" s="109"/>
      <c r="B232" s="223"/>
      <c r="C232" s="76"/>
      <c r="D232" s="76"/>
      <c r="E232" s="76"/>
      <c r="F232" s="76"/>
      <c r="G232" s="76"/>
      <c r="H232" s="76"/>
      <c r="I232" s="76"/>
      <c r="J232" s="214"/>
      <c r="K232" s="157"/>
      <c r="L232" s="76"/>
      <c r="M232" s="78"/>
      <c r="N232" s="76"/>
      <c r="O232" s="76"/>
      <c r="P232" s="76"/>
      <c r="Q232" s="76"/>
    </row>
    <row r="233" spans="1:17" s="91" customFormat="1" ht="12" customHeight="1" x14ac:dyDescent="0.3">
      <c r="A233" s="109"/>
      <c r="B233" s="109"/>
      <c r="C233" s="109"/>
      <c r="D233" s="110"/>
      <c r="E233" s="76"/>
      <c r="F233" s="76"/>
      <c r="G233" s="76"/>
      <c r="H233" s="76"/>
      <c r="I233" s="76"/>
      <c r="J233" s="214"/>
      <c r="K233" s="157"/>
      <c r="L233" s="76"/>
      <c r="M233" s="78"/>
      <c r="N233" s="76"/>
      <c r="O233" s="76"/>
      <c r="P233" s="76"/>
      <c r="Q233" s="76"/>
    </row>
    <row r="234" spans="1:17" s="91" customFormat="1" ht="12" customHeight="1" x14ac:dyDescent="0.3">
      <c r="A234" s="109"/>
      <c r="B234" s="109"/>
      <c r="C234" s="109"/>
      <c r="D234" s="110"/>
      <c r="E234" s="76"/>
      <c r="F234" s="76"/>
      <c r="G234" s="76"/>
      <c r="H234" s="76"/>
      <c r="I234" s="76"/>
      <c r="J234" s="214"/>
      <c r="K234" s="157"/>
      <c r="L234" s="76"/>
      <c r="M234" s="78"/>
      <c r="N234" s="76"/>
      <c r="O234" s="76"/>
      <c r="P234" s="76"/>
      <c r="Q234" s="76"/>
    </row>
    <row r="235" spans="1:17" s="91" customFormat="1" ht="12" customHeight="1" x14ac:dyDescent="0.3">
      <c r="A235" s="109"/>
      <c r="B235" s="109"/>
      <c r="C235" s="109"/>
      <c r="D235" s="110"/>
      <c r="E235" s="76"/>
      <c r="F235" s="76"/>
      <c r="G235" s="76"/>
      <c r="H235" s="76"/>
      <c r="I235" s="76"/>
      <c r="J235" s="214"/>
      <c r="K235" s="157"/>
      <c r="L235" s="76"/>
      <c r="M235" s="78"/>
      <c r="N235" s="76"/>
      <c r="O235" s="76"/>
      <c r="P235" s="76"/>
      <c r="Q235" s="76"/>
    </row>
    <row r="236" spans="1:17" s="91" customFormat="1" ht="12" customHeight="1" x14ac:dyDescent="0.3">
      <c r="A236" s="109"/>
      <c r="B236" s="109"/>
      <c r="C236" s="109"/>
      <c r="D236" s="110"/>
      <c r="E236" s="76"/>
      <c r="F236" s="76"/>
      <c r="G236" s="76"/>
      <c r="H236" s="76"/>
      <c r="I236" s="76"/>
      <c r="J236" s="214"/>
      <c r="K236" s="157"/>
      <c r="L236" s="76"/>
      <c r="M236" s="78"/>
      <c r="N236" s="76"/>
      <c r="O236" s="76"/>
      <c r="P236" s="76"/>
      <c r="Q236" s="76"/>
    </row>
    <row r="237" spans="1:17" s="91" customFormat="1" ht="12" customHeight="1" x14ac:dyDescent="0.3">
      <c r="A237" s="109"/>
      <c r="B237" s="109"/>
      <c r="C237" s="109"/>
      <c r="D237" s="109"/>
      <c r="E237" s="76"/>
      <c r="F237" s="88"/>
      <c r="G237" s="88"/>
      <c r="H237" s="88"/>
      <c r="I237" s="88"/>
      <c r="J237" s="76"/>
      <c r="K237" s="157"/>
      <c r="L237" s="76"/>
      <c r="M237" s="78"/>
      <c r="N237" s="76"/>
      <c r="O237" s="76"/>
      <c r="P237" s="76"/>
      <c r="Q237" s="76"/>
    </row>
    <row r="238" spans="1:17" s="91" customFormat="1" ht="12" customHeight="1" x14ac:dyDescent="0.3">
      <c r="A238" s="107"/>
      <c r="B238" s="109"/>
      <c r="C238" s="109"/>
      <c r="D238" s="109"/>
      <c r="E238" s="76"/>
      <c r="F238" s="76"/>
      <c r="G238" s="76"/>
      <c r="H238" s="76"/>
      <c r="I238" s="76"/>
      <c r="J238" s="76"/>
      <c r="K238" s="157"/>
      <c r="L238" s="76"/>
      <c r="M238" s="78"/>
      <c r="N238" s="76"/>
      <c r="O238" s="76"/>
      <c r="P238" s="76"/>
      <c r="Q238" s="76"/>
    </row>
    <row r="239" spans="1:17" s="91" customFormat="1" ht="12" customHeight="1" x14ac:dyDescent="0.3">
      <c r="A239" s="295" t="e">
        <f>(F15-#REF!)*12%</f>
        <v>#REF!</v>
      </c>
      <c r="B239" s="109"/>
      <c r="C239" s="109"/>
      <c r="D239" s="296"/>
      <c r="E239" s="297"/>
      <c r="F239" s="297"/>
      <c r="G239" s="297"/>
      <c r="H239" s="297"/>
      <c r="I239" s="298"/>
      <c r="J239" s="76"/>
      <c r="K239" s="157"/>
      <c r="L239" s="76"/>
      <c r="M239" s="78"/>
      <c r="N239" s="76"/>
      <c r="O239" s="76"/>
      <c r="P239" s="76"/>
      <c r="Q239" s="76"/>
    </row>
    <row r="240" spans="1:17" s="91" customFormat="1" ht="12" customHeight="1" x14ac:dyDescent="0.3">
      <c r="A240" s="299"/>
      <c r="B240" s="109"/>
      <c r="C240" s="109"/>
      <c r="D240" s="296"/>
      <c r="E240" s="297"/>
      <c r="F240" s="297"/>
      <c r="G240" s="297"/>
      <c r="H240" s="297"/>
      <c r="I240" s="300"/>
      <c r="J240" s="76"/>
      <c r="K240" s="157"/>
      <c r="L240" s="76"/>
      <c r="M240" s="78"/>
      <c r="N240" s="76"/>
      <c r="O240" s="76"/>
      <c r="P240" s="76"/>
      <c r="Q240" s="76"/>
    </row>
    <row r="241" spans="1:17" s="91" customFormat="1" ht="12" customHeight="1" x14ac:dyDescent="0.3">
      <c r="A241" s="107"/>
      <c r="B241" s="295"/>
      <c r="C241" s="107"/>
      <c r="D241" s="301"/>
      <c r="E241" s="302"/>
      <c r="F241" s="303"/>
      <c r="G241" s="303"/>
      <c r="H241" s="303"/>
      <c r="I241" s="298"/>
      <c r="J241" s="76"/>
      <c r="K241" s="157"/>
      <c r="L241" s="76"/>
      <c r="M241" s="78"/>
      <c r="N241" s="76"/>
      <c r="O241" s="76"/>
      <c r="P241" s="76"/>
      <c r="Q241" s="76"/>
    </row>
    <row r="242" spans="1:17" s="91" customFormat="1" ht="17.25" customHeight="1" x14ac:dyDescent="0.3">
      <c r="B242" s="107"/>
      <c r="C242" s="107"/>
      <c r="D242" s="301"/>
      <c r="F242" s="303"/>
      <c r="G242" s="303"/>
      <c r="H242" s="303"/>
      <c r="I242" s="304"/>
      <c r="J242" s="76"/>
      <c r="K242" s="157"/>
      <c r="L242" s="76"/>
      <c r="M242" s="78"/>
      <c r="N242" s="76"/>
      <c r="O242" s="76"/>
      <c r="P242" s="76"/>
      <c r="Q242" s="76"/>
    </row>
    <row r="243" spans="1:17" s="91" customFormat="1" ht="15.75" customHeight="1" x14ac:dyDescent="0.3">
      <c r="B243" s="107"/>
      <c r="C243" s="107"/>
      <c r="D243" s="301"/>
      <c r="E243" s="302"/>
      <c r="F243" s="302"/>
      <c r="G243" s="302"/>
      <c r="H243" s="302"/>
      <c r="J243" s="76"/>
      <c r="K243" s="157"/>
      <c r="L243" s="76"/>
      <c r="M243" s="78"/>
      <c r="N243" s="76"/>
      <c r="O243" s="76"/>
      <c r="P243" s="76"/>
      <c r="Q243" s="76"/>
    </row>
    <row r="244" spans="1:17" s="91" customFormat="1" ht="12.75" customHeight="1" x14ac:dyDescent="0.3">
      <c r="D244" s="305"/>
      <c r="E244" s="302"/>
      <c r="F244" s="302"/>
      <c r="G244" s="302"/>
      <c r="H244" s="302"/>
      <c r="J244" s="76"/>
      <c r="K244" s="157"/>
      <c r="L244" s="76"/>
      <c r="M244" s="78"/>
      <c r="N244" s="76"/>
      <c r="O244" s="76"/>
      <c r="P244" s="76"/>
      <c r="Q244" s="76"/>
    </row>
    <row r="245" spans="1:17" s="91" customFormat="1" ht="12.75" customHeight="1" x14ac:dyDescent="0.3">
      <c r="D245" s="305"/>
      <c r="E245" s="302"/>
      <c r="F245" s="302"/>
      <c r="G245" s="302"/>
      <c r="H245" s="302"/>
      <c r="K245" s="157"/>
      <c r="L245" s="76"/>
      <c r="M245" s="78"/>
      <c r="N245" s="76"/>
      <c r="O245" s="76"/>
      <c r="P245" s="76"/>
      <c r="Q245" s="76"/>
    </row>
    <row r="246" spans="1:17" s="91" customFormat="1" ht="12.75" customHeight="1" x14ac:dyDescent="0.3">
      <c r="D246" s="305"/>
      <c r="E246" s="302"/>
      <c r="F246" s="302"/>
      <c r="G246" s="302"/>
      <c r="H246" s="302"/>
      <c r="K246" s="157"/>
      <c r="L246" s="76"/>
      <c r="M246" s="78"/>
      <c r="N246" s="76"/>
      <c r="O246" s="76"/>
      <c r="P246" s="76"/>
      <c r="Q246" s="76"/>
    </row>
    <row r="247" spans="1:17" s="91" customFormat="1" ht="12.75" customHeight="1" x14ac:dyDescent="0.3">
      <c r="D247" s="305"/>
      <c r="E247" s="302"/>
      <c r="F247" s="302"/>
      <c r="G247" s="302"/>
      <c r="H247" s="302"/>
      <c r="J247" s="229"/>
      <c r="K247" s="157"/>
      <c r="L247" s="76"/>
      <c r="M247" s="78"/>
      <c r="N247" s="76"/>
      <c r="O247" s="76"/>
      <c r="P247" s="76"/>
      <c r="Q247" s="76"/>
    </row>
    <row r="248" spans="1:17" s="91" customFormat="1" ht="12.75" customHeight="1" x14ac:dyDescent="0.3">
      <c r="D248" s="305"/>
      <c r="E248" s="302"/>
      <c r="F248" s="302"/>
      <c r="G248" s="302"/>
      <c r="H248" s="302"/>
      <c r="J248" s="298"/>
      <c r="K248" s="157"/>
      <c r="L248" s="76"/>
      <c r="M248" s="78"/>
      <c r="N248" s="76"/>
      <c r="O248" s="76"/>
      <c r="P248" s="76"/>
      <c r="Q248" s="76"/>
    </row>
    <row r="249" spans="1:17" s="91" customFormat="1" ht="12.75" customHeight="1" x14ac:dyDescent="0.3">
      <c r="D249" s="305"/>
      <c r="E249" s="302"/>
      <c r="F249" s="302"/>
      <c r="G249" s="302"/>
      <c r="H249" s="302"/>
      <c r="J249" s="300"/>
      <c r="K249" s="157"/>
      <c r="L249" s="76"/>
      <c r="M249" s="78"/>
      <c r="N249" s="76"/>
      <c r="O249" s="76"/>
      <c r="P249" s="76"/>
      <c r="Q249" s="76"/>
    </row>
    <row r="250" spans="1:17" s="91" customFormat="1" ht="12.75" customHeight="1" x14ac:dyDescent="0.3">
      <c r="D250" s="305"/>
      <c r="E250" s="302"/>
      <c r="F250" s="302"/>
      <c r="G250" s="302"/>
      <c r="H250" s="302"/>
      <c r="J250" s="298"/>
      <c r="K250" s="157"/>
      <c r="L250" s="76"/>
      <c r="M250" s="78"/>
      <c r="N250" s="76"/>
      <c r="O250" s="76"/>
      <c r="P250" s="76"/>
      <c r="Q250" s="76"/>
    </row>
    <row r="251" spans="1:17" s="91" customFormat="1" ht="12.75" customHeight="1" x14ac:dyDescent="0.3">
      <c r="D251" s="305"/>
      <c r="E251" s="302"/>
      <c r="F251" s="302"/>
      <c r="G251" s="302"/>
      <c r="H251" s="302"/>
      <c r="J251" s="304"/>
      <c r="K251" s="157"/>
      <c r="L251" s="76"/>
      <c r="M251" s="78"/>
      <c r="N251" s="76"/>
      <c r="O251" s="76"/>
      <c r="P251" s="76"/>
      <c r="Q251" s="76"/>
    </row>
    <row r="252" spans="1:17" s="91" customFormat="1" ht="12.75" customHeight="1" x14ac:dyDescent="0.3">
      <c r="D252" s="305"/>
      <c r="E252" s="302"/>
      <c r="F252" s="302"/>
      <c r="G252" s="302"/>
      <c r="H252" s="302"/>
      <c r="K252" s="157"/>
      <c r="L252" s="76"/>
      <c r="M252" s="78"/>
      <c r="N252" s="76"/>
      <c r="O252" s="76"/>
      <c r="P252" s="76"/>
      <c r="Q252" s="76"/>
    </row>
    <row r="253" spans="1:17" s="91" customFormat="1" ht="12.75" customHeight="1" x14ac:dyDescent="0.3">
      <c r="D253" s="305"/>
      <c r="E253" s="302"/>
      <c r="F253" s="302"/>
      <c r="G253" s="302"/>
      <c r="H253" s="302"/>
      <c r="K253" s="76"/>
      <c r="L253" s="76"/>
      <c r="M253" s="78"/>
      <c r="N253" s="76"/>
      <c r="O253" s="76"/>
      <c r="P253" s="76"/>
      <c r="Q253" s="76"/>
    </row>
    <row r="254" spans="1:17" s="91" customFormat="1" ht="12.75" customHeight="1" x14ac:dyDescent="0.3">
      <c r="D254" s="305"/>
      <c r="E254" s="302"/>
      <c r="F254" s="302"/>
      <c r="G254" s="302"/>
      <c r="H254" s="302"/>
      <c r="K254" s="76"/>
      <c r="L254" s="76"/>
      <c r="M254" s="88"/>
      <c r="N254" s="76"/>
      <c r="O254" s="76"/>
      <c r="P254" s="76"/>
      <c r="Q254" s="76"/>
    </row>
    <row r="255" spans="1:17" s="91" customFormat="1" ht="12.75" customHeight="1" x14ac:dyDescent="0.3">
      <c r="D255" s="305"/>
      <c r="E255" s="302"/>
      <c r="F255" s="302"/>
      <c r="G255" s="302"/>
      <c r="H255" s="302"/>
      <c r="K255" s="76"/>
      <c r="L255" s="76"/>
      <c r="M255" s="88"/>
      <c r="N255" s="76"/>
      <c r="O255" s="76"/>
      <c r="P255" s="76"/>
      <c r="Q255" s="76"/>
    </row>
    <row r="256" spans="1:17" s="91" customFormat="1" ht="12.75" customHeight="1" x14ac:dyDescent="0.3">
      <c r="D256" s="305"/>
      <c r="E256" s="302"/>
      <c r="F256" s="302"/>
      <c r="G256" s="302"/>
      <c r="H256" s="302"/>
      <c r="K256" s="76"/>
      <c r="L256" s="76"/>
      <c r="M256" s="88"/>
      <c r="N256" s="76"/>
      <c r="O256" s="76"/>
      <c r="P256" s="76"/>
      <c r="Q256" s="76"/>
    </row>
    <row r="257" spans="4:17" s="91" customFormat="1" ht="12.75" customHeight="1" x14ac:dyDescent="0.3">
      <c r="D257" s="305"/>
      <c r="E257" s="302"/>
      <c r="F257" s="302"/>
      <c r="G257" s="302"/>
      <c r="H257" s="302"/>
      <c r="K257" s="418"/>
      <c r="L257" s="418"/>
      <c r="M257" s="418"/>
      <c r="N257" s="76"/>
      <c r="O257" s="76"/>
      <c r="P257" s="418"/>
      <c r="Q257" s="418"/>
    </row>
    <row r="258" spans="4:17" s="91" customFormat="1" ht="12.75" customHeight="1" x14ac:dyDescent="0.3">
      <c r="D258" s="305"/>
      <c r="E258" s="302"/>
      <c r="F258" s="302"/>
      <c r="G258" s="302"/>
      <c r="H258" s="302"/>
      <c r="K258" s="76"/>
      <c r="L258" s="419"/>
      <c r="M258" s="419"/>
      <c r="N258" s="76"/>
      <c r="O258" s="76"/>
      <c r="P258" s="76"/>
      <c r="Q258" s="76"/>
    </row>
    <row r="259" spans="4:17" s="91" customFormat="1" ht="12.75" customHeight="1" x14ac:dyDescent="0.3">
      <c r="D259" s="305"/>
      <c r="E259" s="302"/>
      <c r="F259" s="302"/>
      <c r="G259" s="302"/>
      <c r="H259" s="302"/>
      <c r="K259" s="298"/>
      <c r="L259" s="116"/>
      <c r="M259" s="76"/>
      <c r="N259" s="76"/>
      <c r="O259" s="76"/>
      <c r="P259" s="76"/>
      <c r="Q259" s="76"/>
    </row>
    <row r="260" spans="4:17" s="91" customFormat="1" ht="12.75" customHeight="1" x14ac:dyDescent="0.3">
      <c r="D260" s="305"/>
      <c r="E260" s="302"/>
      <c r="F260" s="302"/>
      <c r="G260" s="302"/>
      <c r="H260" s="302"/>
      <c r="K260" s="300"/>
      <c r="L260" s="116"/>
      <c r="M260" s="76"/>
      <c r="N260" s="76"/>
      <c r="O260" s="76"/>
      <c r="P260" s="76"/>
      <c r="Q260" s="76"/>
    </row>
    <row r="261" spans="4:17" s="91" customFormat="1" ht="12.75" customHeight="1" x14ac:dyDescent="0.3">
      <c r="D261" s="305"/>
      <c r="E261" s="302"/>
      <c r="F261" s="302"/>
      <c r="G261" s="302"/>
      <c r="H261" s="302"/>
      <c r="K261" s="298"/>
      <c r="L261" s="304"/>
    </row>
    <row r="262" spans="4:17" s="91" customFormat="1" ht="12.75" customHeight="1" x14ac:dyDescent="0.3">
      <c r="D262" s="305"/>
      <c r="E262" s="302"/>
      <c r="F262" s="302"/>
      <c r="G262" s="302"/>
      <c r="H262" s="302"/>
      <c r="K262" s="229"/>
      <c r="L262" s="304"/>
    </row>
    <row r="263" spans="4:17" s="91" customFormat="1" ht="12.75" customHeight="1" x14ac:dyDescent="0.3">
      <c r="D263" s="305"/>
      <c r="E263" s="302"/>
      <c r="F263" s="302"/>
      <c r="G263" s="302"/>
      <c r="H263" s="302"/>
      <c r="K263" s="93"/>
    </row>
    <row r="264" spans="4:17" s="91" customFormat="1" ht="12.75" customHeight="1" x14ac:dyDescent="0.3">
      <c r="D264" s="305"/>
      <c r="E264" s="302"/>
      <c r="F264" s="302"/>
      <c r="G264" s="302"/>
      <c r="H264" s="302"/>
      <c r="K264" s="93"/>
    </row>
    <row r="265" spans="4:17" s="91" customFormat="1" ht="12.75" customHeight="1" x14ac:dyDescent="0.3">
      <c r="D265" s="305"/>
      <c r="E265" s="302"/>
      <c r="F265" s="302"/>
      <c r="G265" s="302"/>
      <c r="H265" s="302"/>
      <c r="K265" s="93"/>
    </row>
    <row r="266" spans="4:17" s="91" customFormat="1" ht="12.75" customHeight="1" x14ac:dyDescent="0.3">
      <c r="D266" s="305"/>
      <c r="E266" s="302"/>
      <c r="F266" s="302"/>
      <c r="G266" s="302"/>
      <c r="H266" s="302"/>
      <c r="K266" s="93"/>
    </row>
    <row r="267" spans="4:17" s="91" customFormat="1" ht="12.75" customHeight="1" x14ac:dyDescent="0.3">
      <c r="D267" s="305"/>
      <c r="E267" s="302"/>
      <c r="F267" s="302"/>
      <c r="G267" s="302"/>
      <c r="H267" s="302"/>
      <c r="K267" s="93"/>
    </row>
    <row r="268" spans="4:17" s="91" customFormat="1" ht="12.75" customHeight="1" x14ac:dyDescent="0.3">
      <c r="D268" s="305"/>
      <c r="E268" s="302"/>
      <c r="F268" s="302"/>
      <c r="G268" s="302"/>
      <c r="H268" s="302"/>
      <c r="K268" s="93"/>
    </row>
    <row r="269" spans="4:17" s="91" customFormat="1" ht="12.75" customHeight="1" x14ac:dyDescent="0.3">
      <c r="D269" s="305"/>
      <c r="E269" s="302"/>
      <c r="F269" s="302"/>
      <c r="G269" s="302"/>
      <c r="H269" s="302"/>
      <c r="K269" s="93"/>
    </row>
    <row r="270" spans="4:17" s="91" customFormat="1" ht="12.75" customHeight="1" x14ac:dyDescent="0.3">
      <c r="D270" s="305"/>
      <c r="E270" s="302"/>
      <c r="F270" s="302"/>
      <c r="G270" s="302"/>
      <c r="H270" s="302"/>
      <c r="K270" s="93"/>
    </row>
    <row r="271" spans="4:17" s="91" customFormat="1" ht="12.75" customHeight="1" x14ac:dyDescent="0.3">
      <c r="D271" s="305"/>
      <c r="E271" s="302"/>
      <c r="F271" s="302"/>
      <c r="G271" s="302"/>
      <c r="H271" s="302"/>
      <c r="K271" s="93"/>
    </row>
    <row r="272" spans="4:17" s="91" customFormat="1" ht="12.75" customHeight="1" x14ac:dyDescent="0.3">
      <c r="D272" s="305"/>
      <c r="E272" s="302"/>
      <c r="F272" s="302"/>
      <c r="G272" s="302"/>
      <c r="H272" s="302"/>
      <c r="K272" s="93"/>
    </row>
    <row r="273" spans="4:12" s="91" customFormat="1" ht="12.75" customHeight="1" x14ac:dyDescent="0.3">
      <c r="D273" s="305"/>
      <c r="E273" s="302"/>
      <c r="F273" s="302"/>
      <c r="G273" s="302"/>
      <c r="H273" s="302"/>
      <c r="K273" s="93"/>
    </row>
    <row r="274" spans="4:12" s="91" customFormat="1" ht="12.75" customHeight="1" x14ac:dyDescent="0.3">
      <c r="D274" s="305"/>
      <c r="E274" s="302"/>
      <c r="F274" s="302"/>
      <c r="G274" s="302"/>
      <c r="H274" s="302"/>
      <c r="K274" s="93"/>
    </row>
    <row r="275" spans="4:12" s="91" customFormat="1" ht="12.75" customHeight="1" x14ac:dyDescent="0.3">
      <c r="D275" s="305"/>
      <c r="E275" s="302"/>
      <c r="F275" s="302"/>
      <c r="G275" s="302"/>
      <c r="H275" s="302"/>
      <c r="L275" s="93"/>
    </row>
    <row r="276" spans="4:12" s="91" customFormat="1" ht="12.75" customHeight="1" x14ac:dyDescent="0.3">
      <c r="D276" s="305"/>
      <c r="E276" s="302"/>
      <c r="F276" s="302"/>
      <c r="G276" s="302"/>
      <c r="H276" s="302"/>
      <c r="L276" s="93"/>
    </row>
    <row r="277" spans="4:12" s="91" customFormat="1" ht="12.75" customHeight="1" x14ac:dyDescent="0.3">
      <c r="D277" s="305"/>
      <c r="E277" s="302"/>
      <c r="F277" s="302"/>
      <c r="G277" s="302"/>
      <c r="H277" s="302"/>
      <c r="L277" s="93"/>
    </row>
    <row r="278" spans="4:12" s="91" customFormat="1" ht="12.75" customHeight="1" x14ac:dyDescent="0.3">
      <c r="D278" s="305"/>
      <c r="E278" s="302"/>
      <c r="F278" s="302"/>
      <c r="G278" s="302"/>
      <c r="H278" s="302"/>
      <c r="L278" s="93"/>
    </row>
    <row r="279" spans="4:12" s="91" customFormat="1" ht="12.75" customHeight="1" x14ac:dyDescent="0.3">
      <c r="D279" s="305"/>
      <c r="E279" s="302"/>
      <c r="F279" s="302"/>
      <c r="G279" s="302"/>
      <c r="H279" s="302"/>
      <c r="L279" s="93"/>
    </row>
    <row r="280" spans="4:12" s="91" customFormat="1" ht="12.75" customHeight="1" x14ac:dyDescent="0.3">
      <c r="D280" s="305"/>
      <c r="E280" s="302"/>
      <c r="F280" s="302"/>
      <c r="G280" s="302"/>
      <c r="H280" s="302"/>
      <c r="L280" s="93"/>
    </row>
    <row r="281" spans="4:12" s="91" customFormat="1" ht="12.75" customHeight="1" x14ac:dyDescent="0.3">
      <c r="D281" s="305"/>
      <c r="E281" s="302"/>
      <c r="F281" s="302"/>
      <c r="G281" s="302"/>
      <c r="H281" s="302"/>
      <c r="L281" s="93"/>
    </row>
    <row r="282" spans="4:12" s="91" customFormat="1" ht="12.75" customHeight="1" x14ac:dyDescent="0.3">
      <c r="D282" s="305"/>
      <c r="E282" s="302"/>
      <c r="F282" s="302"/>
      <c r="G282" s="302"/>
      <c r="H282" s="302"/>
      <c r="L282" s="93"/>
    </row>
    <row r="283" spans="4:12" s="91" customFormat="1" ht="12.75" customHeight="1" x14ac:dyDescent="0.3">
      <c r="D283" s="305"/>
      <c r="E283" s="302"/>
      <c r="F283" s="302"/>
      <c r="G283" s="302"/>
      <c r="H283" s="302"/>
      <c r="L283" s="93"/>
    </row>
    <row r="284" spans="4:12" s="91" customFormat="1" ht="12.75" customHeight="1" x14ac:dyDescent="0.3">
      <c r="D284" s="305"/>
      <c r="E284" s="302"/>
      <c r="F284" s="302"/>
      <c r="G284" s="302"/>
      <c r="H284" s="302"/>
      <c r="L284" s="93"/>
    </row>
    <row r="285" spans="4:12" s="91" customFormat="1" ht="12.75" customHeight="1" x14ac:dyDescent="0.3">
      <c r="D285" s="305"/>
      <c r="E285" s="302"/>
      <c r="F285" s="302"/>
      <c r="G285" s="302"/>
      <c r="H285" s="302"/>
      <c r="L285" s="93"/>
    </row>
    <row r="286" spans="4:12" s="91" customFormat="1" ht="12.75" customHeight="1" x14ac:dyDescent="0.3">
      <c r="D286" s="305"/>
      <c r="E286" s="302"/>
      <c r="F286" s="302"/>
      <c r="G286" s="302"/>
      <c r="H286" s="302"/>
      <c r="L286" s="93"/>
    </row>
    <row r="287" spans="4:12" s="91" customFormat="1" ht="12.75" customHeight="1" x14ac:dyDescent="0.3">
      <c r="D287" s="305"/>
      <c r="E287" s="302"/>
      <c r="F287" s="302"/>
      <c r="G287" s="302"/>
      <c r="H287" s="302"/>
      <c r="L287" s="93"/>
    </row>
    <row r="288" spans="4:12" s="91" customFormat="1" ht="12.75" customHeight="1" x14ac:dyDescent="0.3">
      <c r="D288" s="305"/>
      <c r="E288" s="302"/>
      <c r="F288" s="302"/>
      <c r="G288" s="302"/>
      <c r="H288" s="302"/>
      <c r="L288" s="93"/>
    </row>
    <row r="289" spans="4:12" s="91" customFormat="1" ht="12.75" customHeight="1" x14ac:dyDescent="0.3">
      <c r="D289" s="305"/>
      <c r="E289" s="302"/>
      <c r="F289" s="302"/>
      <c r="G289" s="302"/>
      <c r="H289" s="302"/>
      <c r="L289" s="93"/>
    </row>
    <row r="290" spans="4:12" s="91" customFormat="1" ht="12.75" customHeight="1" x14ac:dyDescent="0.3">
      <c r="D290" s="305"/>
      <c r="E290" s="302"/>
      <c r="F290" s="302"/>
      <c r="G290" s="302"/>
      <c r="H290" s="302"/>
      <c r="L290" s="93"/>
    </row>
    <row r="291" spans="4:12" s="91" customFormat="1" ht="12.75" customHeight="1" x14ac:dyDescent="0.3">
      <c r="D291" s="305"/>
      <c r="E291" s="302"/>
      <c r="F291" s="302"/>
      <c r="G291" s="302"/>
      <c r="H291" s="302"/>
      <c r="L291" s="93"/>
    </row>
    <row r="292" spans="4:12" s="91" customFormat="1" ht="12.75" customHeight="1" x14ac:dyDescent="0.3">
      <c r="D292" s="305"/>
      <c r="E292" s="302"/>
      <c r="F292" s="302"/>
      <c r="G292" s="302"/>
      <c r="H292" s="302"/>
      <c r="L292" s="93"/>
    </row>
    <row r="293" spans="4:12" s="91" customFormat="1" ht="12.75" customHeight="1" x14ac:dyDescent="0.3">
      <c r="D293" s="305"/>
      <c r="E293" s="302"/>
      <c r="F293" s="302"/>
      <c r="G293" s="302"/>
      <c r="H293" s="302"/>
      <c r="L293" s="93"/>
    </row>
    <row r="294" spans="4:12" s="91" customFormat="1" ht="12.75" customHeight="1" x14ac:dyDescent="0.3">
      <c r="D294" s="305"/>
      <c r="E294" s="302"/>
      <c r="F294" s="302"/>
      <c r="G294" s="302"/>
      <c r="H294" s="302"/>
      <c r="L294" s="93"/>
    </row>
    <row r="295" spans="4:12" s="91" customFormat="1" ht="12.75" customHeight="1" x14ac:dyDescent="0.3">
      <c r="D295" s="305"/>
      <c r="E295" s="302"/>
      <c r="F295" s="302"/>
      <c r="G295" s="302"/>
      <c r="H295" s="302"/>
      <c r="L295" s="93"/>
    </row>
    <row r="296" spans="4:12" s="91" customFormat="1" ht="12.75" customHeight="1" x14ac:dyDescent="0.3">
      <c r="D296" s="305"/>
      <c r="E296" s="302"/>
      <c r="F296" s="302"/>
      <c r="G296" s="302"/>
      <c r="H296" s="302"/>
      <c r="L296" s="93"/>
    </row>
    <row r="297" spans="4:12" s="91" customFormat="1" ht="12.75" customHeight="1" x14ac:dyDescent="0.3">
      <c r="D297" s="305"/>
      <c r="E297" s="302"/>
      <c r="F297" s="302"/>
      <c r="G297" s="302"/>
      <c r="H297" s="302"/>
      <c r="L297" s="93"/>
    </row>
    <row r="298" spans="4:12" s="91" customFormat="1" ht="12.75" customHeight="1" x14ac:dyDescent="0.3">
      <c r="D298" s="305"/>
      <c r="E298" s="302"/>
      <c r="F298" s="302"/>
      <c r="G298" s="302"/>
      <c r="H298" s="302"/>
      <c r="L298" s="93"/>
    </row>
    <row r="299" spans="4:12" s="91" customFormat="1" ht="12.75" customHeight="1" x14ac:dyDescent="0.3">
      <c r="D299" s="305"/>
      <c r="E299" s="302"/>
      <c r="F299" s="302"/>
      <c r="G299" s="302"/>
      <c r="H299" s="302"/>
      <c r="L299" s="93"/>
    </row>
    <row r="300" spans="4:12" s="91" customFormat="1" ht="12.75" customHeight="1" x14ac:dyDescent="0.3">
      <c r="D300" s="305"/>
      <c r="E300" s="302"/>
      <c r="F300" s="302"/>
      <c r="G300" s="302"/>
      <c r="H300" s="302"/>
      <c r="L300" s="93"/>
    </row>
    <row r="301" spans="4:12" s="91" customFormat="1" ht="12.75" customHeight="1" x14ac:dyDescent="0.3">
      <c r="D301" s="305"/>
      <c r="E301" s="302"/>
      <c r="F301" s="302"/>
      <c r="G301" s="302"/>
      <c r="H301" s="302"/>
      <c r="L301" s="93"/>
    </row>
    <row r="302" spans="4:12" s="91" customFormat="1" ht="12.75" customHeight="1" x14ac:dyDescent="0.3">
      <c r="D302" s="305"/>
      <c r="E302" s="302"/>
      <c r="F302" s="302"/>
      <c r="G302" s="302"/>
      <c r="H302" s="302"/>
      <c r="L302" s="93"/>
    </row>
    <row r="303" spans="4:12" s="91" customFormat="1" ht="12.75" customHeight="1" x14ac:dyDescent="0.3">
      <c r="D303" s="305"/>
      <c r="E303" s="302"/>
      <c r="F303" s="302"/>
      <c r="G303" s="302"/>
      <c r="H303" s="302"/>
      <c r="L303" s="93"/>
    </row>
    <row r="304" spans="4:12" s="91" customFormat="1" ht="12.75" customHeight="1" x14ac:dyDescent="0.3">
      <c r="D304" s="305"/>
      <c r="E304" s="302"/>
      <c r="F304" s="302"/>
      <c r="G304" s="302"/>
      <c r="H304" s="302"/>
      <c r="L304" s="93"/>
    </row>
    <row r="305" spans="4:12" s="91" customFormat="1" ht="12.75" customHeight="1" x14ac:dyDescent="0.3">
      <c r="D305" s="305"/>
      <c r="E305" s="302"/>
      <c r="F305" s="302"/>
      <c r="G305" s="302"/>
      <c r="H305" s="302"/>
      <c r="L305" s="93"/>
    </row>
    <row r="306" spans="4:12" s="91" customFormat="1" ht="12.75" customHeight="1" x14ac:dyDescent="0.3">
      <c r="D306" s="305"/>
      <c r="E306" s="302"/>
      <c r="F306" s="302"/>
      <c r="G306" s="302"/>
      <c r="H306" s="302"/>
      <c r="L306" s="93"/>
    </row>
    <row r="307" spans="4:12" s="91" customFormat="1" ht="12.75" customHeight="1" x14ac:dyDescent="0.3">
      <c r="D307" s="305"/>
      <c r="E307" s="302"/>
      <c r="F307" s="302"/>
      <c r="G307" s="302"/>
      <c r="H307" s="302"/>
      <c r="L307" s="93"/>
    </row>
    <row r="308" spans="4:12" s="91" customFormat="1" ht="12.75" customHeight="1" x14ac:dyDescent="0.3">
      <c r="D308" s="305"/>
      <c r="E308" s="302"/>
      <c r="F308" s="302"/>
      <c r="G308" s="302"/>
      <c r="H308" s="302"/>
      <c r="L308" s="93"/>
    </row>
    <row r="309" spans="4:12" s="91" customFormat="1" ht="12.75" customHeight="1" x14ac:dyDescent="0.3">
      <c r="D309" s="305"/>
      <c r="E309" s="302"/>
      <c r="F309" s="302"/>
      <c r="G309" s="302"/>
      <c r="H309" s="302"/>
      <c r="L309" s="93"/>
    </row>
    <row r="310" spans="4:12" s="91" customFormat="1" ht="12.75" customHeight="1" x14ac:dyDescent="0.3">
      <c r="D310" s="305"/>
      <c r="E310" s="302"/>
      <c r="F310" s="302"/>
      <c r="G310" s="302"/>
      <c r="H310" s="302"/>
      <c r="L310" s="93"/>
    </row>
    <row r="311" spans="4:12" s="91" customFormat="1" ht="12.75" customHeight="1" x14ac:dyDescent="0.3">
      <c r="D311" s="305"/>
      <c r="E311" s="302"/>
      <c r="F311" s="302"/>
      <c r="G311" s="302"/>
      <c r="H311" s="302"/>
      <c r="L311" s="93"/>
    </row>
    <row r="312" spans="4:12" s="91" customFormat="1" ht="12.75" customHeight="1" x14ac:dyDescent="0.3">
      <c r="D312" s="305"/>
      <c r="E312" s="302"/>
      <c r="F312" s="302"/>
      <c r="G312" s="302"/>
      <c r="H312" s="302"/>
      <c r="L312" s="93"/>
    </row>
    <row r="313" spans="4:12" s="91" customFormat="1" ht="12.75" customHeight="1" x14ac:dyDescent="0.3">
      <c r="D313" s="305"/>
      <c r="E313" s="302"/>
      <c r="F313" s="302"/>
      <c r="G313" s="302"/>
      <c r="H313" s="302"/>
      <c r="L313" s="93"/>
    </row>
    <row r="314" spans="4:12" s="91" customFormat="1" ht="12.75" customHeight="1" x14ac:dyDescent="0.3">
      <c r="D314" s="305"/>
      <c r="E314" s="302"/>
      <c r="F314" s="302"/>
      <c r="G314" s="302"/>
      <c r="H314" s="302"/>
      <c r="L314" s="93"/>
    </row>
    <row r="315" spans="4:12" s="91" customFormat="1" ht="12.75" customHeight="1" x14ac:dyDescent="0.3">
      <c r="D315" s="305"/>
      <c r="E315" s="302"/>
      <c r="F315" s="302"/>
      <c r="G315" s="302"/>
      <c r="H315" s="302"/>
      <c r="L315" s="93"/>
    </row>
    <row r="316" spans="4:12" s="91" customFormat="1" ht="12.75" customHeight="1" x14ac:dyDescent="0.3">
      <c r="D316" s="305"/>
      <c r="E316" s="302"/>
      <c r="F316" s="302"/>
      <c r="G316" s="302"/>
      <c r="H316" s="302"/>
      <c r="L316" s="93"/>
    </row>
    <row r="317" spans="4:12" s="91" customFormat="1" ht="12.75" customHeight="1" x14ac:dyDescent="0.3">
      <c r="D317" s="305"/>
      <c r="E317" s="302"/>
      <c r="F317" s="302"/>
      <c r="G317" s="302"/>
      <c r="H317" s="302"/>
      <c r="L317" s="93"/>
    </row>
    <row r="318" spans="4:12" s="91" customFormat="1" ht="12.75" customHeight="1" x14ac:dyDescent="0.3">
      <c r="D318" s="305"/>
      <c r="E318" s="302"/>
      <c r="F318" s="302"/>
      <c r="G318" s="302"/>
      <c r="H318" s="302"/>
      <c r="L318" s="93"/>
    </row>
    <row r="319" spans="4:12" s="91" customFormat="1" ht="12.75" customHeight="1" x14ac:dyDescent="0.3">
      <c r="D319" s="305"/>
      <c r="E319" s="302"/>
      <c r="F319" s="302"/>
      <c r="G319" s="302"/>
      <c r="H319" s="302"/>
      <c r="L319" s="93"/>
    </row>
    <row r="320" spans="4:12" s="91" customFormat="1" ht="12.75" customHeight="1" x14ac:dyDescent="0.3">
      <c r="D320" s="305"/>
      <c r="E320" s="302"/>
      <c r="F320" s="302"/>
      <c r="G320" s="302"/>
      <c r="H320" s="302"/>
      <c r="L320" s="93"/>
    </row>
    <row r="321" spans="4:12" s="91" customFormat="1" ht="12.75" customHeight="1" x14ac:dyDescent="0.3">
      <c r="D321" s="305"/>
      <c r="E321" s="302"/>
      <c r="F321" s="302"/>
      <c r="G321" s="302"/>
      <c r="H321" s="302"/>
      <c r="L321" s="93"/>
    </row>
    <row r="322" spans="4:12" s="91" customFormat="1" ht="12.75" customHeight="1" x14ac:dyDescent="0.3">
      <c r="D322" s="305"/>
      <c r="E322" s="302"/>
      <c r="F322" s="302"/>
      <c r="G322" s="302"/>
      <c r="H322" s="302"/>
      <c r="L322" s="93"/>
    </row>
    <row r="323" spans="4:12" s="91" customFormat="1" ht="12.75" customHeight="1" x14ac:dyDescent="0.3">
      <c r="D323" s="305"/>
      <c r="E323" s="302"/>
      <c r="F323" s="302"/>
      <c r="G323" s="302"/>
      <c r="H323" s="302"/>
      <c r="L323" s="93"/>
    </row>
    <row r="324" spans="4:12" s="91" customFormat="1" ht="12.75" customHeight="1" x14ac:dyDescent="0.3">
      <c r="D324" s="305"/>
      <c r="E324" s="302"/>
      <c r="F324" s="302"/>
      <c r="G324" s="302"/>
      <c r="H324" s="302"/>
      <c r="L324" s="93"/>
    </row>
    <row r="325" spans="4:12" s="91" customFormat="1" ht="12.75" customHeight="1" x14ac:dyDescent="0.3">
      <c r="D325" s="305"/>
      <c r="E325" s="302"/>
      <c r="F325" s="302"/>
      <c r="G325" s="302"/>
      <c r="H325" s="302"/>
      <c r="L325" s="93"/>
    </row>
    <row r="326" spans="4:12" s="91" customFormat="1" ht="12.75" customHeight="1" x14ac:dyDescent="0.3">
      <c r="D326" s="305"/>
      <c r="E326" s="302"/>
      <c r="F326" s="302"/>
      <c r="G326" s="302"/>
      <c r="H326" s="302"/>
      <c r="L326" s="93"/>
    </row>
    <row r="327" spans="4:12" s="91" customFormat="1" ht="12.75" customHeight="1" x14ac:dyDescent="0.3">
      <c r="D327" s="305"/>
      <c r="E327" s="302"/>
      <c r="F327" s="302"/>
      <c r="G327" s="302"/>
      <c r="H327" s="302"/>
      <c r="L327" s="93"/>
    </row>
    <row r="328" spans="4:12" s="91" customFormat="1" ht="12.75" customHeight="1" x14ac:dyDescent="0.3">
      <c r="D328" s="305"/>
      <c r="E328" s="302"/>
      <c r="F328" s="302"/>
      <c r="G328" s="302"/>
      <c r="H328" s="302"/>
      <c r="L328" s="93"/>
    </row>
    <row r="329" spans="4:12" s="91" customFormat="1" ht="12.75" customHeight="1" x14ac:dyDescent="0.3">
      <c r="D329" s="305"/>
      <c r="E329" s="302"/>
      <c r="F329" s="302"/>
      <c r="G329" s="302"/>
      <c r="H329" s="302"/>
      <c r="L329" s="93"/>
    </row>
    <row r="330" spans="4:12" s="91" customFormat="1" ht="12.75" customHeight="1" x14ac:dyDescent="0.3">
      <c r="D330" s="305"/>
      <c r="E330" s="302"/>
      <c r="F330" s="302"/>
      <c r="G330" s="302"/>
      <c r="H330" s="302"/>
      <c r="L330" s="93"/>
    </row>
    <row r="331" spans="4:12" s="91" customFormat="1" ht="12.75" customHeight="1" x14ac:dyDescent="0.3">
      <c r="D331" s="305"/>
      <c r="E331" s="302"/>
      <c r="F331" s="302"/>
      <c r="G331" s="302"/>
      <c r="H331" s="302"/>
      <c r="L331" s="93"/>
    </row>
    <row r="332" spans="4:12" s="91" customFormat="1" ht="12.75" customHeight="1" x14ac:dyDescent="0.3">
      <c r="D332" s="305"/>
      <c r="E332" s="302"/>
      <c r="F332" s="302"/>
      <c r="G332" s="302"/>
      <c r="H332" s="302"/>
      <c r="L332" s="93"/>
    </row>
    <row r="333" spans="4:12" s="91" customFormat="1" ht="12.75" customHeight="1" x14ac:dyDescent="0.3">
      <c r="D333" s="305"/>
      <c r="E333" s="302"/>
      <c r="F333" s="302"/>
      <c r="G333" s="302"/>
      <c r="H333" s="302"/>
      <c r="L333" s="93"/>
    </row>
    <row r="334" spans="4:12" s="91" customFormat="1" ht="12.75" customHeight="1" x14ac:dyDescent="0.3">
      <c r="D334" s="305"/>
      <c r="E334" s="302"/>
      <c r="F334" s="302"/>
      <c r="G334" s="302"/>
      <c r="H334" s="302"/>
      <c r="L334" s="93"/>
    </row>
    <row r="335" spans="4:12" s="91" customFormat="1" ht="12.75" customHeight="1" x14ac:dyDescent="0.3">
      <c r="D335" s="305"/>
      <c r="E335" s="302"/>
      <c r="F335" s="302"/>
      <c r="G335" s="302"/>
      <c r="H335" s="302"/>
      <c r="L335" s="93"/>
    </row>
    <row r="336" spans="4:12" s="91" customFormat="1" ht="12.75" customHeight="1" x14ac:dyDescent="0.3">
      <c r="D336" s="305"/>
      <c r="E336" s="302"/>
      <c r="F336" s="302"/>
      <c r="G336" s="302"/>
      <c r="H336" s="302"/>
      <c r="L336" s="93"/>
    </row>
    <row r="337" spans="4:12" s="91" customFormat="1" ht="12.75" customHeight="1" x14ac:dyDescent="0.3">
      <c r="D337" s="305"/>
      <c r="E337" s="302"/>
      <c r="F337" s="302"/>
      <c r="G337" s="302"/>
      <c r="H337" s="302"/>
      <c r="L337" s="93"/>
    </row>
    <row r="338" spans="4:12" s="91" customFormat="1" ht="12.75" customHeight="1" x14ac:dyDescent="0.3">
      <c r="D338" s="305"/>
      <c r="E338" s="302"/>
      <c r="F338" s="302"/>
      <c r="G338" s="302"/>
      <c r="H338" s="302"/>
      <c r="L338" s="93"/>
    </row>
    <row r="339" spans="4:12" s="91" customFormat="1" ht="12.75" customHeight="1" x14ac:dyDescent="0.3">
      <c r="D339" s="305"/>
      <c r="E339" s="302"/>
      <c r="F339" s="302"/>
      <c r="G339" s="302"/>
      <c r="H339" s="302"/>
      <c r="L339" s="93"/>
    </row>
    <row r="340" spans="4:12" s="91" customFormat="1" ht="12.75" customHeight="1" x14ac:dyDescent="0.3">
      <c r="D340" s="305"/>
      <c r="E340" s="302"/>
      <c r="F340" s="302"/>
      <c r="G340" s="302"/>
      <c r="H340" s="302"/>
      <c r="L340" s="93"/>
    </row>
    <row r="341" spans="4:12" s="91" customFormat="1" ht="12.75" customHeight="1" x14ac:dyDescent="0.3">
      <c r="D341" s="305"/>
      <c r="E341" s="302"/>
      <c r="F341" s="302"/>
      <c r="G341" s="302"/>
      <c r="H341" s="302"/>
      <c r="L341" s="93"/>
    </row>
    <row r="342" spans="4:12" s="91" customFormat="1" ht="12.75" customHeight="1" x14ac:dyDescent="0.3">
      <c r="D342" s="305"/>
      <c r="E342" s="302"/>
      <c r="F342" s="302"/>
      <c r="G342" s="302"/>
      <c r="H342" s="302"/>
      <c r="L342" s="93"/>
    </row>
    <row r="343" spans="4:12" s="91" customFormat="1" ht="12.75" customHeight="1" x14ac:dyDescent="0.3">
      <c r="D343" s="305"/>
      <c r="E343" s="302"/>
      <c r="F343" s="302"/>
      <c r="G343" s="302"/>
      <c r="H343" s="302"/>
      <c r="L343" s="93"/>
    </row>
    <row r="344" spans="4:12" s="91" customFormat="1" ht="12.75" customHeight="1" x14ac:dyDescent="0.3">
      <c r="D344" s="305"/>
      <c r="E344" s="302"/>
      <c r="F344" s="302"/>
      <c r="G344" s="302"/>
      <c r="H344" s="302"/>
      <c r="L344" s="93"/>
    </row>
    <row r="345" spans="4:12" s="91" customFormat="1" ht="12.75" customHeight="1" x14ac:dyDescent="0.3">
      <c r="D345" s="305"/>
      <c r="E345" s="302"/>
      <c r="F345" s="302"/>
      <c r="G345" s="302"/>
      <c r="H345" s="302"/>
      <c r="L345" s="93"/>
    </row>
    <row r="346" spans="4:12" s="91" customFormat="1" ht="12.75" customHeight="1" x14ac:dyDescent="0.3">
      <c r="D346" s="305"/>
      <c r="E346" s="302"/>
      <c r="F346" s="302"/>
      <c r="G346" s="302"/>
      <c r="H346" s="302"/>
      <c r="L346" s="93"/>
    </row>
    <row r="347" spans="4:12" s="91" customFormat="1" ht="12.75" customHeight="1" x14ac:dyDescent="0.3">
      <c r="D347" s="305"/>
      <c r="E347" s="302"/>
      <c r="F347" s="302"/>
      <c r="G347" s="302"/>
      <c r="H347" s="302"/>
      <c r="L347" s="93"/>
    </row>
    <row r="348" spans="4:12" s="91" customFormat="1" ht="12.75" customHeight="1" x14ac:dyDescent="0.3">
      <c r="D348" s="305"/>
      <c r="E348" s="302"/>
      <c r="F348" s="302"/>
      <c r="G348" s="302"/>
      <c r="H348" s="302"/>
      <c r="L348" s="93"/>
    </row>
    <row r="349" spans="4:12" s="91" customFormat="1" ht="12.75" customHeight="1" x14ac:dyDescent="0.3">
      <c r="D349" s="305"/>
      <c r="E349" s="302"/>
      <c r="F349" s="302"/>
      <c r="G349" s="302"/>
      <c r="H349" s="302"/>
      <c r="L349" s="93"/>
    </row>
    <row r="350" spans="4:12" s="91" customFormat="1" ht="12.75" customHeight="1" x14ac:dyDescent="0.3">
      <c r="D350" s="305"/>
      <c r="E350" s="302"/>
      <c r="F350" s="302"/>
      <c r="G350" s="302"/>
      <c r="H350" s="302"/>
      <c r="L350" s="93"/>
    </row>
    <row r="351" spans="4:12" s="91" customFormat="1" ht="12.75" customHeight="1" x14ac:dyDescent="0.3">
      <c r="D351" s="305"/>
      <c r="E351" s="302"/>
      <c r="F351" s="302"/>
      <c r="G351" s="302"/>
      <c r="H351" s="302"/>
      <c r="L351" s="93"/>
    </row>
    <row r="352" spans="4:12" s="91" customFormat="1" ht="12.75" customHeight="1" x14ac:dyDescent="0.3">
      <c r="D352" s="305"/>
      <c r="E352" s="302"/>
      <c r="F352" s="302"/>
      <c r="G352" s="302"/>
      <c r="H352" s="302"/>
      <c r="L352" s="93"/>
    </row>
    <row r="353" spans="4:12" s="91" customFormat="1" ht="12.75" customHeight="1" x14ac:dyDescent="0.3">
      <c r="D353" s="305"/>
      <c r="E353" s="302"/>
      <c r="F353" s="302"/>
      <c r="G353" s="302"/>
      <c r="H353" s="302"/>
      <c r="L353" s="93"/>
    </row>
    <row r="354" spans="4:12" s="91" customFormat="1" ht="12.75" customHeight="1" x14ac:dyDescent="0.3">
      <c r="D354" s="305"/>
      <c r="E354" s="302"/>
      <c r="F354" s="302"/>
      <c r="G354" s="302"/>
      <c r="H354" s="302"/>
      <c r="L354" s="93"/>
    </row>
    <row r="355" spans="4:12" s="91" customFormat="1" ht="12.75" customHeight="1" x14ac:dyDescent="0.3">
      <c r="D355" s="305"/>
      <c r="E355" s="302"/>
      <c r="F355" s="302"/>
      <c r="G355" s="302"/>
      <c r="H355" s="302"/>
      <c r="L355" s="93"/>
    </row>
    <row r="356" spans="4:12" s="91" customFormat="1" ht="12.75" customHeight="1" x14ac:dyDescent="0.3">
      <c r="D356" s="305"/>
      <c r="E356" s="302"/>
      <c r="F356" s="302"/>
      <c r="G356" s="302"/>
      <c r="H356" s="302"/>
      <c r="L356" s="93"/>
    </row>
    <row r="357" spans="4:12" s="91" customFormat="1" ht="12.75" customHeight="1" x14ac:dyDescent="0.3">
      <c r="D357" s="305"/>
      <c r="E357" s="302"/>
      <c r="F357" s="302"/>
      <c r="G357" s="302"/>
      <c r="H357" s="302"/>
      <c r="L357" s="93"/>
    </row>
    <row r="358" spans="4:12" s="91" customFormat="1" ht="12.75" customHeight="1" x14ac:dyDescent="0.3">
      <c r="D358" s="305"/>
      <c r="E358" s="302"/>
      <c r="F358" s="302"/>
      <c r="G358" s="302"/>
      <c r="H358" s="302"/>
      <c r="L358" s="93"/>
    </row>
    <row r="359" spans="4:12" s="91" customFormat="1" ht="12.75" customHeight="1" x14ac:dyDescent="0.3">
      <c r="D359" s="305"/>
      <c r="E359" s="302"/>
      <c r="F359" s="302"/>
      <c r="G359" s="302"/>
      <c r="H359" s="302"/>
      <c r="L359" s="93"/>
    </row>
    <row r="360" spans="4:12" s="91" customFormat="1" ht="12.75" customHeight="1" x14ac:dyDescent="0.3">
      <c r="D360" s="305"/>
      <c r="E360" s="302"/>
      <c r="F360" s="302"/>
      <c r="G360" s="302"/>
      <c r="H360" s="302"/>
      <c r="L360" s="93"/>
    </row>
    <row r="361" spans="4:12" s="91" customFormat="1" ht="12.75" customHeight="1" x14ac:dyDescent="0.3">
      <c r="D361" s="305"/>
      <c r="E361" s="302"/>
      <c r="F361" s="302"/>
      <c r="G361" s="302"/>
      <c r="H361" s="302"/>
      <c r="L361" s="93"/>
    </row>
    <row r="362" spans="4:12" s="91" customFormat="1" ht="12.75" customHeight="1" x14ac:dyDescent="0.3">
      <c r="D362" s="305"/>
      <c r="E362" s="302"/>
      <c r="F362" s="302"/>
      <c r="G362" s="302"/>
      <c r="H362" s="302"/>
      <c r="L362" s="93"/>
    </row>
    <row r="363" spans="4:12" s="91" customFormat="1" ht="12.75" customHeight="1" x14ac:dyDescent="0.3">
      <c r="D363" s="305"/>
      <c r="E363" s="302"/>
      <c r="F363" s="302"/>
      <c r="G363" s="302"/>
      <c r="H363" s="302"/>
      <c r="L363" s="93"/>
    </row>
    <row r="364" spans="4:12" s="91" customFormat="1" ht="12.75" customHeight="1" x14ac:dyDescent="0.3">
      <c r="D364" s="305"/>
      <c r="E364" s="302"/>
      <c r="F364" s="302"/>
      <c r="G364" s="302"/>
      <c r="H364" s="302"/>
      <c r="L364" s="93"/>
    </row>
    <row r="365" spans="4:12" s="91" customFormat="1" ht="12.75" customHeight="1" x14ac:dyDescent="0.3">
      <c r="D365" s="305"/>
      <c r="E365" s="302"/>
      <c r="F365" s="302"/>
      <c r="G365" s="302"/>
      <c r="H365" s="302"/>
      <c r="L365" s="93"/>
    </row>
    <row r="366" spans="4:12" s="91" customFormat="1" ht="12.75" customHeight="1" x14ac:dyDescent="0.3">
      <c r="D366" s="305"/>
      <c r="E366" s="302"/>
      <c r="F366" s="302"/>
      <c r="G366" s="302"/>
      <c r="H366" s="302"/>
      <c r="L366" s="93"/>
    </row>
    <row r="367" spans="4:12" s="91" customFormat="1" ht="12.75" customHeight="1" x14ac:dyDescent="0.3">
      <c r="D367" s="305"/>
      <c r="E367" s="302"/>
      <c r="F367" s="302"/>
      <c r="G367" s="302"/>
      <c r="H367" s="302"/>
      <c r="L367" s="93"/>
    </row>
    <row r="368" spans="4:12" s="91" customFormat="1" ht="12.75" customHeight="1" x14ac:dyDescent="0.3">
      <c r="D368" s="305"/>
      <c r="E368" s="302"/>
      <c r="F368" s="302"/>
      <c r="G368" s="302"/>
      <c r="H368" s="302"/>
      <c r="L368" s="93"/>
    </row>
    <row r="369" spans="4:34" s="91" customFormat="1" ht="12.75" customHeight="1" x14ac:dyDescent="0.3">
      <c r="D369" s="305"/>
      <c r="E369" s="302"/>
      <c r="F369" s="302"/>
      <c r="G369" s="302"/>
      <c r="H369" s="302"/>
      <c r="L369" s="93"/>
    </row>
    <row r="370" spans="4:34" s="91" customFormat="1" ht="12.75" customHeight="1" x14ac:dyDescent="0.3">
      <c r="D370" s="305"/>
      <c r="E370" s="302"/>
      <c r="F370" s="302"/>
      <c r="G370" s="302"/>
      <c r="H370" s="302"/>
      <c r="L370" s="93"/>
    </row>
    <row r="371" spans="4:34" s="91" customFormat="1" ht="12.75" customHeight="1" x14ac:dyDescent="0.3">
      <c r="D371" s="305"/>
      <c r="E371" s="302"/>
      <c r="F371" s="302"/>
      <c r="G371" s="302"/>
      <c r="H371" s="302"/>
      <c r="L371" s="93"/>
    </row>
    <row r="372" spans="4:34" s="91" customFormat="1" ht="12.75" customHeight="1" x14ac:dyDescent="0.3">
      <c r="D372" s="305"/>
      <c r="E372" s="302"/>
      <c r="F372" s="302"/>
      <c r="G372" s="302"/>
      <c r="H372" s="302"/>
      <c r="L372" s="93"/>
    </row>
    <row r="373" spans="4:34" s="91" customFormat="1" ht="12.75" customHeight="1" x14ac:dyDescent="0.3">
      <c r="D373" s="305"/>
      <c r="E373" s="302"/>
      <c r="F373" s="302"/>
      <c r="G373" s="302"/>
      <c r="H373" s="302"/>
      <c r="L373" s="93"/>
    </row>
    <row r="374" spans="4:34" s="91" customFormat="1" ht="12.75" customHeight="1" x14ac:dyDescent="0.3">
      <c r="D374" s="305"/>
      <c r="E374" s="302"/>
      <c r="F374" s="302"/>
      <c r="G374" s="302"/>
      <c r="H374" s="302"/>
      <c r="L374" s="93"/>
    </row>
    <row r="375" spans="4:34" s="91" customFormat="1" ht="12.75" customHeight="1" x14ac:dyDescent="0.3">
      <c r="D375" s="305"/>
      <c r="E375" s="302"/>
      <c r="F375" s="302"/>
      <c r="G375" s="302"/>
      <c r="H375" s="302"/>
      <c r="L375" s="93"/>
    </row>
    <row r="376" spans="4:34" s="91" customFormat="1" ht="12.75" customHeight="1" x14ac:dyDescent="0.3">
      <c r="D376" s="305"/>
      <c r="E376" s="302"/>
      <c r="F376" s="302"/>
      <c r="G376" s="302"/>
      <c r="H376" s="302"/>
      <c r="L376" s="93"/>
    </row>
    <row r="377" spans="4:34" s="91" customFormat="1" ht="12.75" customHeight="1" x14ac:dyDescent="0.3">
      <c r="D377" s="305"/>
      <c r="E377" s="302"/>
      <c r="F377" s="302"/>
      <c r="G377" s="302"/>
      <c r="H377" s="302"/>
      <c r="L377" s="93"/>
    </row>
    <row r="378" spans="4:34" s="91" customFormat="1" ht="12.75" customHeight="1" x14ac:dyDescent="0.3">
      <c r="D378" s="305"/>
      <c r="E378" s="302"/>
      <c r="F378" s="302"/>
      <c r="G378" s="302"/>
      <c r="H378" s="302"/>
      <c r="L378" s="93"/>
    </row>
    <row r="379" spans="4:34" s="91" customFormat="1" ht="12.75" customHeight="1" x14ac:dyDescent="0.3">
      <c r="D379" s="305"/>
      <c r="E379" s="302"/>
      <c r="F379" s="302"/>
      <c r="G379" s="302"/>
      <c r="H379" s="302"/>
      <c r="L379" s="93"/>
    </row>
    <row r="380" spans="4:34" s="91" customFormat="1" ht="12.75" customHeight="1" x14ac:dyDescent="0.3">
      <c r="D380" s="305"/>
      <c r="E380" s="302"/>
      <c r="F380" s="302"/>
      <c r="G380" s="302"/>
      <c r="H380" s="302"/>
      <c r="L380" s="93"/>
    </row>
    <row r="381" spans="4:34" s="91" customFormat="1" ht="12.75" customHeight="1" x14ac:dyDescent="0.3">
      <c r="D381" s="305"/>
      <c r="E381" s="302"/>
      <c r="F381" s="302"/>
      <c r="G381" s="302"/>
      <c r="H381" s="302"/>
      <c r="L381" s="93"/>
    </row>
    <row r="382" spans="4:34" s="91" customFormat="1" ht="12.75" customHeight="1" x14ac:dyDescent="0.3">
      <c r="D382" s="305"/>
      <c r="E382" s="302"/>
      <c r="F382" s="302"/>
      <c r="G382" s="302"/>
      <c r="H382" s="302"/>
      <c r="L382" s="93"/>
    </row>
    <row r="383" spans="4:34" s="91" customFormat="1" ht="12.75" customHeight="1" x14ac:dyDescent="0.3">
      <c r="D383" s="305"/>
      <c r="E383" s="302"/>
      <c r="F383" s="302"/>
      <c r="G383" s="302"/>
      <c r="H383" s="302"/>
      <c r="L383" s="93"/>
    </row>
    <row r="384" spans="4:34" s="91" customFormat="1" ht="12.75" customHeight="1" x14ac:dyDescent="0.3">
      <c r="D384" s="305"/>
      <c r="E384" s="302"/>
      <c r="F384" s="302"/>
      <c r="G384" s="302"/>
      <c r="H384" s="302"/>
      <c r="L384" s="93"/>
      <c r="AF384" s="306"/>
      <c r="AG384" s="307"/>
      <c r="AH384" s="306"/>
    </row>
    <row r="385" spans="4:53" ht="12.75" customHeight="1" x14ac:dyDescent="0.3">
      <c r="D385" s="305"/>
      <c r="E385" s="302"/>
      <c r="F385" s="302"/>
      <c r="G385" s="302"/>
      <c r="H385" s="302"/>
      <c r="AF385" s="308"/>
      <c r="AG385" s="308"/>
      <c r="AH385" s="306"/>
      <c r="AI385" s="307"/>
      <c r="AJ385" s="309"/>
      <c r="AK385" s="310"/>
      <c r="AL385" s="311"/>
      <c r="AM385" s="312"/>
      <c r="AN385" s="312"/>
      <c r="AO385" s="313"/>
      <c r="AP385" s="314"/>
      <c r="AQ385" s="312"/>
      <c r="AR385" s="312"/>
      <c r="AS385" s="315">
        <v>20000</v>
      </c>
      <c r="AT385" s="312"/>
      <c r="AU385" s="306">
        <v>24</v>
      </c>
      <c r="AV385" s="316"/>
      <c r="AW385" s="317"/>
      <c r="AX385" s="316"/>
      <c r="AY385" s="312"/>
      <c r="AZ385" s="312"/>
      <c r="BA385" s="312"/>
    </row>
    <row r="386" spans="4:53" ht="12.75" customHeight="1" x14ac:dyDescent="0.3">
      <c r="D386" s="305"/>
      <c r="E386" s="302"/>
      <c r="F386" s="302"/>
      <c r="G386" s="302"/>
      <c r="H386" s="302"/>
      <c r="AF386" s="308"/>
      <c r="AG386" s="308"/>
      <c r="AH386" s="306"/>
      <c r="AI386" s="308"/>
      <c r="AJ386" s="318"/>
      <c r="AK386" s="319"/>
      <c r="AL386" s="320"/>
      <c r="AM386" s="315"/>
      <c r="AN386" s="315"/>
      <c r="AO386" s="321"/>
      <c r="AP386" s="322"/>
      <c r="AQ386" s="315"/>
      <c r="AR386" s="315"/>
      <c r="AS386" s="315">
        <v>15000</v>
      </c>
      <c r="AT386" s="315"/>
      <c r="AU386" s="308"/>
      <c r="AV386" s="323"/>
      <c r="AW386" s="324"/>
      <c r="AX386" s="323"/>
      <c r="AY386" s="315"/>
      <c r="AZ386" s="315"/>
      <c r="BA386" s="315"/>
    </row>
    <row r="387" spans="4:53" ht="12.75" customHeight="1" x14ac:dyDescent="0.3">
      <c r="D387" s="305"/>
      <c r="E387" s="302"/>
      <c r="F387" s="302"/>
      <c r="G387" s="302"/>
      <c r="H387" s="302"/>
      <c r="AF387" s="308"/>
      <c r="AG387" s="308"/>
      <c r="AH387" s="306"/>
      <c r="AI387" s="308"/>
      <c r="AJ387" s="318"/>
      <c r="AK387" s="319"/>
      <c r="AL387" s="320"/>
      <c r="AM387" s="315"/>
      <c r="AN387" s="315"/>
      <c r="AO387" s="321"/>
      <c r="AP387" s="322"/>
      <c r="AQ387" s="315"/>
      <c r="AR387" s="315"/>
      <c r="AS387" s="315"/>
      <c r="AT387" s="315"/>
      <c r="AU387" s="308"/>
      <c r="AV387" s="323"/>
      <c r="AW387" s="324"/>
      <c r="AX387" s="323"/>
      <c r="AY387" s="315"/>
      <c r="AZ387" s="315"/>
      <c r="BA387" s="315"/>
    </row>
    <row r="388" spans="4:53" ht="12.75" customHeight="1" x14ac:dyDescent="0.3">
      <c r="D388" s="305"/>
      <c r="E388" s="302"/>
      <c r="F388" s="302"/>
      <c r="G388" s="302"/>
      <c r="H388" s="302"/>
      <c r="AF388" s="308"/>
      <c r="AG388" s="308"/>
      <c r="AH388" s="306"/>
      <c r="AI388" s="308"/>
      <c r="AJ388" s="318"/>
      <c r="AK388" s="319"/>
      <c r="AL388" s="320"/>
      <c r="AM388" s="315"/>
      <c r="AN388" s="315"/>
      <c r="AO388" s="321"/>
      <c r="AP388" s="322"/>
      <c r="AQ388" s="315"/>
      <c r="AR388" s="315"/>
      <c r="AS388" s="315"/>
      <c r="AT388" s="315"/>
      <c r="AU388" s="308"/>
      <c r="AV388" s="323"/>
      <c r="AW388" s="324"/>
      <c r="AX388" s="323"/>
      <c r="AY388" s="315"/>
      <c r="AZ388" s="315"/>
      <c r="BA388" s="315"/>
    </row>
    <row r="389" spans="4:53" ht="12.75" customHeight="1" x14ac:dyDescent="0.3">
      <c r="D389" s="305"/>
      <c r="E389" s="302"/>
      <c r="F389" s="302"/>
      <c r="G389" s="302"/>
      <c r="H389" s="302"/>
      <c r="AF389" s="308"/>
      <c r="AG389" s="308"/>
      <c r="AH389" s="306"/>
      <c r="AI389" s="308"/>
      <c r="AJ389" s="318"/>
      <c r="AK389" s="319"/>
      <c r="AL389" s="320"/>
      <c r="AM389" s="315"/>
      <c r="AN389" s="315"/>
      <c r="AO389" s="321"/>
      <c r="AP389" s="322"/>
      <c r="AQ389" s="315"/>
      <c r="AR389" s="315"/>
      <c r="AS389" s="315"/>
      <c r="AT389" s="315"/>
      <c r="AU389" s="308"/>
      <c r="AV389" s="323"/>
      <c r="AW389" s="324"/>
      <c r="AX389" s="323"/>
      <c r="AY389" s="315"/>
      <c r="AZ389" s="315"/>
      <c r="BA389" s="315"/>
    </row>
    <row r="390" spans="4:53" ht="12.75" customHeight="1" x14ac:dyDescent="0.3">
      <c r="D390" s="305"/>
      <c r="E390" s="302"/>
      <c r="F390" s="302"/>
      <c r="G390" s="302"/>
      <c r="H390" s="302"/>
      <c r="AF390" s="308"/>
      <c r="AG390" s="308"/>
      <c r="AH390" s="306"/>
      <c r="AI390" s="308"/>
      <c r="AJ390" s="318"/>
      <c r="AK390" s="319"/>
      <c r="AL390" s="320"/>
      <c r="AM390" s="315"/>
      <c r="AN390" s="315"/>
      <c r="AO390" s="321"/>
      <c r="AP390" s="322"/>
      <c r="AQ390" s="315"/>
      <c r="AR390" s="315"/>
      <c r="AS390" s="315"/>
      <c r="AT390" s="315"/>
      <c r="AU390" s="308"/>
      <c r="AV390" s="323"/>
      <c r="AW390" s="324"/>
      <c r="AX390" s="323"/>
      <c r="AY390" s="315"/>
      <c r="AZ390" s="315"/>
      <c r="BA390" s="315"/>
    </row>
    <row r="391" spans="4:53" ht="12.75" customHeight="1" x14ac:dyDescent="0.3">
      <c r="D391" s="305"/>
      <c r="E391" s="302"/>
      <c r="F391" s="302"/>
      <c r="G391" s="302"/>
      <c r="H391" s="302"/>
      <c r="AF391" s="308"/>
      <c r="AG391" s="308"/>
      <c r="AH391" s="306"/>
      <c r="AI391" s="308"/>
      <c r="AJ391" s="318"/>
      <c r="AK391" s="319"/>
      <c r="AL391" s="320"/>
      <c r="AM391" s="315"/>
      <c r="AN391" s="315"/>
      <c r="AO391" s="321"/>
      <c r="AP391" s="322"/>
      <c r="AQ391" s="315"/>
      <c r="AR391" s="315"/>
      <c r="AS391" s="315"/>
      <c r="AT391" s="315"/>
      <c r="AU391" s="308"/>
      <c r="AV391" s="323"/>
      <c r="AW391" s="324"/>
      <c r="AX391" s="323"/>
      <c r="AY391" s="315"/>
      <c r="AZ391" s="315"/>
      <c r="BA391" s="315"/>
    </row>
    <row r="392" spans="4:53" ht="12.75" customHeight="1" x14ac:dyDescent="0.3">
      <c r="D392" s="305"/>
      <c r="E392" s="302"/>
      <c r="F392" s="302"/>
      <c r="G392" s="302"/>
      <c r="H392" s="302"/>
      <c r="AF392" s="308"/>
      <c r="AG392" s="308"/>
      <c r="AH392" s="306"/>
      <c r="AI392" s="308"/>
      <c r="AJ392" s="318"/>
      <c r="AK392" s="319"/>
      <c r="AL392" s="320"/>
      <c r="AM392" s="315"/>
      <c r="AN392" s="315"/>
      <c r="AO392" s="321"/>
      <c r="AP392" s="322"/>
      <c r="AQ392" s="315"/>
      <c r="AR392" s="315"/>
      <c r="AS392" s="315"/>
      <c r="AT392" s="315"/>
      <c r="AU392" s="308"/>
      <c r="AV392" s="323"/>
      <c r="AW392" s="324"/>
      <c r="AX392" s="323"/>
      <c r="AY392" s="315"/>
      <c r="AZ392" s="315"/>
      <c r="BA392" s="315"/>
    </row>
    <row r="393" spans="4:53" ht="12.75" customHeight="1" x14ac:dyDescent="0.3">
      <c r="D393" s="305"/>
      <c r="E393" s="302"/>
      <c r="F393" s="302"/>
      <c r="G393" s="302"/>
      <c r="H393" s="302"/>
      <c r="AF393" s="308"/>
      <c r="AG393" s="308"/>
      <c r="AH393" s="306"/>
      <c r="AI393" s="308"/>
      <c r="AJ393" s="318"/>
      <c r="AK393" s="319"/>
      <c r="AL393" s="320"/>
      <c r="AM393" s="315"/>
      <c r="AN393" s="315"/>
      <c r="AO393" s="321"/>
      <c r="AP393" s="322"/>
      <c r="AQ393" s="315"/>
      <c r="AR393" s="315"/>
      <c r="AS393" s="315"/>
      <c r="AT393" s="315"/>
      <c r="AU393" s="308"/>
      <c r="AV393" s="323"/>
      <c r="AW393" s="324"/>
      <c r="AX393" s="323"/>
      <c r="AY393" s="315"/>
      <c r="AZ393" s="315"/>
      <c r="BA393" s="315"/>
    </row>
    <row r="394" spans="4:53" ht="12.75" customHeight="1" x14ac:dyDescent="0.3">
      <c r="D394" s="305"/>
      <c r="E394" s="302"/>
      <c r="F394" s="302"/>
      <c r="G394" s="302"/>
      <c r="H394" s="302"/>
      <c r="AF394" s="93"/>
      <c r="AI394" s="308"/>
      <c r="AJ394" s="318"/>
      <c r="AK394" s="319"/>
      <c r="AL394" s="320"/>
      <c r="AM394" s="315"/>
      <c r="AN394" s="315"/>
      <c r="AO394" s="321"/>
      <c r="AP394" s="322"/>
      <c r="AQ394" s="315"/>
      <c r="AR394" s="315"/>
      <c r="AS394" s="315"/>
      <c r="AT394" s="315"/>
      <c r="AU394" s="308"/>
      <c r="AV394" s="323"/>
      <c r="AW394" s="324"/>
      <c r="AX394" s="323"/>
      <c r="AY394" s="315"/>
      <c r="AZ394" s="315"/>
      <c r="BA394" s="315"/>
    </row>
    <row r="395" spans="4:53" ht="12.75" customHeight="1" x14ac:dyDescent="0.3">
      <c r="D395" s="305"/>
      <c r="E395" s="302"/>
      <c r="F395" s="302"/>
      <c r="G395" s="302"/>
      <c r="H395" s="302"/>
      <c r="AF395" s="93"/>
      <c r="AJ395" s="325"/>
      <c r="AS395" s="92"/>
    </row>
    <row r="396" spans="4:53" ht="12.75" customHeight="1" x14ac:dyDescent="0.3">
      <c r="D396" s="305"/>
      <c r="E396" s="302"/>
      <c r="F396" s="302"/>
      <c r="G396" s="302"/>
      <c r="H396" s="302"/>
      <c r="AF396" s="93"/>
      <c r="AJ396" s="325"/>
      <c r="AS396" s="92"/>
    </row>
    <row r="397" spans="4:53" ht="12.75" customHeight="1" x14ac:dyDescent="0.3">
      <c r="D397" s="305"/>
      <c r="E397" s="302"/>
      <c r="F397" s="302"/>
      <c r="G397" s="302"/>
      <c r="H397" s="302"/>
      <c r="AF397" s="93"/>
      <c r="AJ397" s="325"/>
      <c r="AS397" s="92"/>
    </row>
    <row r="398" spans="4:53" ht="12.75" customHeight="1" x14ac:dyDescent="0.3">
      <c r="D398" s="305"/>
      <c r="E398" s="302"/>
      <c r="F398" s="302"/>
      <c r="G398" s="302"/>
      <c r="H398" s="302"/>
      <c r="AF398" s="93"/>
      <c r="AJ398" s="325"/>
      <c r="AS398" s="92"/>
    </row>
    <row r="399" spans="4:53" ht="12.75" customHeight="1" x14ac:dyDescent="0.3">
      <c r="D399" s="305"/>
      <c r="E399" s="302"/>
      <c r="F399" s="302"/>
      <c r="G399" s="302"/>
      <c r="H399" s="302"/>
      <c r="AF399" s="93"/>
      <c r="AJ399" s="325"/>
      <c r="AS399" s="92"/>
    </row>
    <row r="400" spans="4:53" ht="12.75" customHeight="1" x14ac:dyDescent="0.3">
      <c r="D400" s="305"/>
      <c r="E400" s="302"/>
      <c r="F400" s="302"/>
      <c r="G400" s="302"/>
      <c r="H400" s="302"/>
      <c r="AF400" s="93"/>
      <c r="AJ400" s="325"/>
      <c r="AS400" s="92"/>
    </row>
    <row r="401" spans="4:45" ht="12.75" customHeight="1" x14ac:dyDescent="0.3">
      <c r="D401" s="305"/>
      <c r="E401" s="302"/>
      <c r="F401" s="302"/>
      <c r="G401" s="302"/>
      <c r="H401" s="302"/>
      <c r="AF401" s="93"/>
      <c r="AJ401" s="325"/>
      <c r="AS401" s="92"/>
    </row>
    <row r="402" spans="4:45" ht="12.75" customHeight="1" x14ac:dyDescent="0.3">
      <c r="D402" s="305"/>
      <c r="E402" s="302"/>
      <c r="F402" s="302"/>
      <c r="G402" s="302"/>
      <c r="H402" s="302"/>
      <c r="AJ402" s="325"/>
      <c r="AS402" s="92"/>
    </row>
    <row r="403" spans="4:45" ht="12.75" customHeight="1" x14ac:dyDescent="0.3">
      <c r="D403" s="305"/>
      <c r="E403" s="302"/>
      <c r="F403" s="302"/>
      <c r="G403" s="302"/>
      <c r="H403" s="302"/>
      <c r="AJ403" s="325"/>
    </row>
    <row r="404" spans="4:45" ht="12.75" customHeight="1" x14ac:dyDescent="0.3">
      <c r="D404" s="305"/>
      <c r="E404" s="302"/>
      <c r="F404" s="302"/>
      <c r="G404" s="302"/>
      <c r="H404" s="302"/>
      <c r="AJ404" s="325"/>
    </row>
    <row r="405" spans="4:45" ht="12.75" customHeight="1" x14ac:dyDescent="0.3">
      <c r="D405" s="305"/>
      <c r="E405" s="302"/>
      <c r="F405" s="302"/>
      <c r="G405" s="302"/>
      <c r="H405" s="302"/>
      <c r="AJ405" s="325"/>
    </row>
    <row r="406" spans="4:45" ht="12.75" customHeight="1" x14ac:dyDescent="0.3">
      <c r="D406" s="305"/>
      <c r="E406" s="302"/>
      <c r="F406" s="302"/>
      <c r="G406" s="302"/>
      <c r="H406" s="302"/>
      <c r="AJ406" s="325"/>
    </row>
    <row r="407" spans="4:45" ht="12.75" customHeight="1" x14ac:dyDescent="0.3">
      <c r="D407" s="305"/>
      <c r="E407" s="302"/>
      <c r="F407" s="302"/>
      <c r="G407" s="302"/>
      <c r="H407" s="302"/>
      <c r="AJ407" s="325"/>
    </row>
    <row r="408" spans="4:45" ht="12.75" customHeight="1" x14ac:dyDescent="0.3">
      <c r="D408" s="305"/>
      <c r="E408" s="302"/>
      <c r="F408" s="302"/>
      <c r="G408" s="302"/>
      <c r="H408" s="302"/>
      <c r="AJ408" s="325"/>
    </row>
    <row r="409" spans="4:45" ht="12.75" customHeight="1" x14ac:dyDescent="0.3">
      <c r="D409" s="305"/>
      <c r="E409" s="302"/>
      <c r="F409" s="302"/>
      <c r="G409" s="302"/>
      <c r="H409" s="302"/>
      <c r="AJ409" s="325"/>
    </row>
    <row r="410" spans="4:45" ht="12.75" customHeight="1" x14ac:dyDescent="0.3">
      <c r="D410" s="305"/>
      <c r="E410" s="302"/>
      <c r="F410" s="302"/>
      <c r="G410" s="302"/>
      <c r="H410" s="302"/>
    </row>
    <row r="411" spans="4:45" ht="12.75" customHeight="1" x14ac:dyDescent="0.3">
      <c r="D411" s="305"/>
      <c r="E411" s="302"/>
      <c r="F411" s="302"/>
      <c r="G411" s="302"/>
      <c r="H411" s="302"/>
    </row>
    <row r="412" spans="4:45" ht="12.75" customHeight="1" x14ac:dyDescent="0.3">
      <c r="D412" s="305"/>
      <c r="E412" s="302"/>
      <c r="F412" s="302"/>
      <c r="G412" s="302"/>
      <c r="H412" s="302"/>
    </row>
    <row r="413" spans="4:45" ht="12.75" customHeight="1" x14ac:dyDescent="0.3">
      <c r="D413" s="305"/>
      <c r="E413" s="302"/>
      <c r="F413" s="302"/>
      <c r="G413" s="302"/>
      <c r="H413" s="302"/>
    </row>
    <row r="414" spans="4:45" ht="12.75" customHeight="1" x14ac:dyDescent="0.3">
      <c r="D414" s="305"/>
      <c r="E414" s="302"/>
      <c r="F414" s="302"/>
      <c r="G414" s="302"/>
      <c r="H414" s="302"/>
    </row>
    <row r="415" spans="4:45" ht="12.75" customHeight="1" x14ac:dyDescent="0.3">
      <c r="D415" s="305"/>
      <c r="E415" s="302"/>
      <c r="F415" s="302"/>
      <c r="G415" s="302"/>
      <c r="H415" s="302"/>
    </row>
    <row r="416" spans="4:45" ht="12.75" customHeight="1" x14ac:dyDescent="0.3">
      <c r="D416" s="305"/>
      <c r="E416" s="302"/>
      <c r="F416" s="302"/>
      <c r="G416" s="302"/>
      <c r="H416" s="302"/>
    </row>
    <row r="417" spans="4:8" ht="12.75" customHeight="1" x14ac:dyDescent="0.3">
      <c r="D417" s="305"/>
      <c r="E417" s="302"/>
      <c r="F417" s="302"/>
      <c r="G417" s="302"/>
      <c r="H417" s="302"/>
    </row>
    <row r="418" spans="4:8" ht="12.75" customHeight="1" x14ac:dyDescent="0.3">
      <c r="D418" s="305"/>
      <c r="E418" s="302"/>
      <c r="F418" s="302"/>
      <c r="G418" s="302"/>
      <c r="H418" s="302"/>
    </row>
    <row r="419" spans="4:8" ht="12.75" customHeight="1" x14ac:dyDescent="0.3">
      <c r="D419" s="305"/>
      <c r="E419" s="302"/>
      <c r="F419" s="302"/>
      <c r="G419" s="302"/>
      <c r="H419" s="302"/>
    </row>
    <row r="420" spans="4:8" ht="12.75" customHeight="1" x14ac:dyDescent="0.3">
      <c r="D420" s="305"/>
      <c r="E420" s="302"/>
      <c r="F420" s="302"/>
      <c r="G420" s="302"/>
      <c r="H420" s="302"/>
    </row>
    <row r="421" spans="4:8" ht="12.75" customHeight="1" x14ac:dyDescent="0.3">
      <c r="D421" s="305"/>
      <c r="E421" s="302"/>
      <c r="F421" s="302"/>
      <c r="G421" s="302"/>
      <c r="H421" s="302"/>
    </row>
    <row r="422" spans="4:8" ht="12.75" customHeight="1" x14ac:dyDescent="0.3">
      <c r="D422" s="305"/>
      <c r="E422" s="302"/>
      <c r="F422" s="302"/>
      <c r="G422" s="302"/>
      <c r="H422" s="302"/>
    </row>
    <row r="423" spans="4:8" ht="12.75" customHeight="1" x14ac:dyDescent="0.3">
      <c r="D423" s="305"/>
      <c r="E423" s="302"/>
      <c r="F423" s="302"/>
      <c r="G423" s="302"/>
      <c r="H423" s="302"/>
    </row>
    <row r="424" spans="4:8" ht="12.75" customHeight="1" x14ac:dyDescent="0.3">
      <c r="D424" s="305"/>
      <c r="E424" s="302"/>
      <c r="F424" s="302"/>
      <c r="G424" s="302"/>
      <c r="H424" s="302"/>
    </row>
    <row r="425" spans="4:8" ht="12.75" customHeight="1" x14ac:dyDescent="0.3">
      <c r="D425" s="305"/>
      <c r="E425" s="302"/>
      <c r="F425" s="302"/>
      <c r="G425" s="302"/>
      <c r="H425" s="302"/>
    </row>
    <row r="426" spans="4:8" ht="12.75" customHeight="1" x14ac:dyDescent="0.3">
      <c r="D426" s="305"/>
      <c r="E426" s="302"/>
      <c r="F426" s="302"/>
      <c r="G426" s="302"/>
      <c r="H426" s="302"/>
    </row>
    <row r="427" spans="4:8" ht="12.75" customHeight="1" x14ac:dyDescent="0.3">
      <c r="D427" s="305"/>
      <c r="E427" s="302"/>
      <c r="F427" s="302"/>
      <c r="G427" s="302"/>
      <c r="H427" s="302"/>
    </row>
    <row r="428" spans="4:8" ht="12.75" customHeight="1" x14ac:dyDescent="0.3">
      <c r="D428" s="305"/>
      <c r="E428" s="302"/>
      <c r="F428" s="302"/>
      <c r="G428" s="302"/>
      <c r="H428" s="302"/>
    </row>
    <row r="429" spans="4:8" ht="12.75" customHeight="1" x14ac:dyDescent="0.3">
      <c r="D429" s="305"/>
      <c r="E429" s="302"/>
      <c r="F429" s="302"/>
      <c r="G429" s="302"/>
      <c r="H429" s="302"/>
    </row>
    <row r="430" spans="4:8" ht="12.75" customHeight="1" x14ac:dyDescent="0.3">
      <c r="D430" s="305"/>
      <c r="E430" s="302"/>
      <c r="F430" s="302"/>
      <c r="G430" s="302"/>
      <c r="H430" s="302"/>
    </row>
    <row r="431" spans="4:8" ht="12.75" customHeight="1" x14ac:dyDescent="0.3">
      <c r="D431" s="305"/>
      <c r="E431" s="302"/>
      <c r="F431" s="302"/>
      <c r="G431" s="302"/>
      <c r="H431" s="302"/>
    </row>
    <row r="432" spans="4:8" ht="12.75" customHeight="1" x14ac:dyDescent="0.3">
      <c r="D432" s="305"/>
      <c r="E432" s="302"/>
      <c r="F432" s="302"/>
      <c r="G432" s="302"/>
      <c r="H432" s="302"/>
    </row>
    <row r="433" spans="4:8" ht="12.75" customHeight="1" x14ac:dyDescent="0.3">
      <c r="D433" s="305"/>
      <c r="E433" s="302"/>
      <c r="F433" s="302"/>
      <c r="G433" s="302"/>
      <c r="H433" s="302"/>
    </row>
    <row r="434" spans="4:8" ht="12.75" customHeight="1" x14ac:dyDescent="0.3">
      <c r="D434" s="305"/>
      <c r="E434" s="302"/>
      <c r="F434" s="302"/>
      <c r="G434" s="302"/>
      <c r="H434" s="302"/>
    </row>
    <row r="435" spans="4:8" ht="12.75" customHeight="1" x14ac:dyDescent="0.3">
      <c r="D435" s="305"/>
      <c r="E435" s="302"/>
      <c r="F435" s="302"/>
      <c r="G435" s="302"/>
      <c r="H435" s="302"/>
    </row>
    <row r="436" spans="4:8" ht="12.75" customHeight="1" x14ac:dyDescent="0.3">
      <c r="D436" s="305"/>
      <c r="E436" s="302"/>
      <c r="F436" s="302"/>
      <c r="G436" s="302"/>
      <c r="H436" s="302"/>
    </row>
    <row r="437" spans="4:8" ht="12.75" customHeight="1" x14ac:dyDescent="0.3">
      <c r="D437" s="305"/>
      <c r="E437" s="302"/>
      <c r="F437" s="302"/>
      <c r="G437" s="302"/>
      <c r="H437" s="302"/>
    </row>
    <row r="438" spans="4:8" ht="12.75" customHeight="1" x14ac:dyDescent="0.3">
      <c r="D438" s="305"/>
      <c r="E438" s="302"/>
      <c r="F438" s="302"/>
      <c r="G438" s="302"/>
      <c r="H438" s="302"/>
    </row>
    <row r="439" spans="4:8" ht="12.75" customHeight="1" x14ac:dyDescent="0.3">
      <c r="D439" s="305"/>
      <c r="E439" s="302"/>
      <c r="F439" s="302"/>
      <c r="G439" s="302"/>
      <c r="H439" s="302"/>
    </row>
    <row r="440" spans="4:8" ht="12.75" customHeight="1" x14ac:dyDescent="0.3">
      <c r="D440" s="305"/>
      <c r="E440" s="302"/>
      <c r="F440" s="302"/>
      <c r="G440" s="302"/>
      <c r="H440" s="302"/>
    </row>
    <row r="441" spans="4:8" ht="12.75" customHeight="1" x14ac:dyDescent="0.3">
      <c r="D441" s="305"/>
      <c r="E441" s="302"/>
      <c r="F441" s="302"/>
      <c r="G441" s="302"/>
      <c r="H441" s="302"/>
    </row>
    <row r="442" spans="4:8" ht="12.75" customHeight="1" x14ac:dyDescent="0.3">
      <c r="D442" s="305"/>
      <c r="E442" s="302"/>
      <c r="F442" s="302"/>
      <c r="G442" s="302"/>
      <c r="H442" s="302"/>
    </row>
    <row r="443" spans="4:8" ht="12.75" customHeight="1" x14ac:dyDescent="0.3">
      <c r="D443" s="305"/>
      <c r="E443" s="302"/>
      <c r="F443" s="302"/>
      <c r="G443" s="302"/>
      <c r="H443" s="302"/>
    </row>
    <row r="444" spans="4:8" ht="12.75" customHeight="1" x14ac:dyDescent="0.3">
      <c r="D444" s="305"/>
      <c r="E444" s="302"/>
      <c r="F444" s="302"/>
      <c r="G444" s="302"/>
      <c r="H444" s="302"/>
    </row>
    <row r="445" spans="4:8" ht="12.75" customHeight="1" x14ac:dyDescent="0.3">
      <c r="D445" s="305"/>
      <c r="E445" s="302"/>
      <c r="F445" s="302"/>
      <c r="G445" s="302"/>
      <c r="H445" s="302"/>
    </row>
    <row r="446" spans="4:8" ht="12.75" customHeight="1" x14ac:dyDescent="0.3">
      <c r="D446" s="305"/>
      <c r="E446" s="302"/>
      <c r="F446" s="302"/>
      <c r="G446" s="302"/>
      <c r="H446" s="302"/>
    </row>
    <row r="447" spans="4:8" ht="12.75" customHeight="1" x14ac:dyDescent="0.3">
      <c r="D447" s="305"/>
      <c r="E447" s="302"/>
      <c r="F447" s="302"/>
      <c r="G447" s="302"/>
      <c r="H447" s="302"/>
    </row>
    <row r="448" spans="4:8" ht="12.75" customHeight="1" x14ac:dyDescent="0.3">
      <c r="D448" s="305"/>
      <c r="E448" s="302"/>
      <c r="F448" s="302"/>
      <c r="G448" s="302"/>
      <c r="H448" s="302"/>
    </row>
    <row r="449" spans="4:8" ht="12.75" customHeight="1" x14ac:dyDescent="0.3">
      <c r="D449" s="305"/>
      <c r="E449" s="302"/>
      <c r="F449" s="302"/>
      <c r="G449" s="302"/>
      <c r="H449" s="302"/>
    </row>
    <row r="450" spans="4:8" ht="12.75" customHeight="1" x14ac:dyDescent="0.3">
      <c r="D450" s="305"/>
      <c r="E450" s="302"/>
      <c r="F450" s="302"/>
      <c r="G450" s="302"/>
      <c r="H450" s="302"/>
    </row>
    <row r="451" spans="4:8" ht="12.75" customHeight="1" x14ac:dyDescent="0.3">
      <c r="D451" s="305"/>
      <c r="E451" s="302"/>
      <c r="F451" s="302"/>
      <c r="G451" s="302"/>
      <c r="H451" s="302"/>
    </row>
    <row r="452" spans="4:8" ht="12.75" customHeight="1" x14ac:dyDescent="0.3">
      <c r="D452" s="305"/>
      <c r="E452" s="302"/>
      <c r="F452" s="302"/>
      <c r="G452" s="302"/>
      <c r="H452" s="302"/>
    </row>
    <row r="453" spans="4:8" ht="12.75" customHeight="1" x14ac:dyDescent="0.3">
      <c r="D453" s="305"/>
      <c r="E453" s="302"/>
      <c r="F453" s="302"/>
      <c r="G453" s="302"/>
      <c r="H453" s="302"/>
    </row>
    <row r="454" spans="4:8" ht="12.75" customHeight="1" x14ac:dyDescent="0.3">
      <c r="D454" s="305"/>
      <c r="E454" s="302"/>
      <c r="F454" s="302"/>
      <c r="G454" s="302"/>
      <c r="H454" s="302"/>
    </row>
    <row r="455" spans="4:8" ht="12.75" customHeight="1" x14ac:dyDescent="0.3">
      <c r="D455" s="305"/>
      <c r="E455" s="302"/>
      <c r="F455" s="302"/>
      <c r="G455" s="302"/>
      <c r="H455" s="302"/>
    </row>
    <row r="456" spans="4:8" ht="12.75" customHeight="1" x14ac:dyDescent="0.3">
      <c r="D456" s="305"/>
      <c r="E456" s="302"/>
      <c r="F456" s="302"/>
      <c r="G456" s="302"/>
      <c r="H456" s="302"/>
    </row>
    <row r="457" spans="4:8" ht="12.75" customHeight="1" x14ac:dyDescent="0.3">
      <c r="D457" s="305"/>
      <c r="E457" s="302"/>
      <c r="F457" s="302"/>
      <c r="G457" s="302"/>
      <c r="H457" s="302"/>
    </row>
    <row r="458" spans="4:8" ht="12.75" customHeight="1" x14ac:dyDescent="0.3">
      <c r="D458" s="305"/>
      <c r="E458" s="302"/>
      <c r="F458" s="302"/>
      <c r="G458" s="302"/>
      <c r="H458" s="302"/>
    </row>
    <row r="459" spans="4:8" ht="12.75" customHeight="1" x14ac:dyDescent="0.3">
      <c r="D459" s="305"/>
      <c r="E459" s="302"/>
      <c r="F459" s="302"/>
      <c r="G459" s="302"/>
      <c r="H459" s="302"/>
    </row>
    <row r="460" spans="4:8" ht="12.75" customHeight="1" x14ac:dyDescent="0.3">
      <c r="D460" s="305"/>
      <c r="E460" s="302"/>
      <c r="F460" s="302"/>
      <c r="G460" s="302"/>
      <c r="H460" s="302"/>
    </row>
    <row r="461" spans="4:8" ht="12.75" customHeight="1" x14ac:dyDescent="0.3">
      <c r="D461" s="305"/>
      <c r="E461" s="302"/>
      <c r="F461" s="302"/>
      <c r="G461" s="302"/>
      <c r="H461" s="302"/>
    </row>
    <row r="462" spans="4:8" ht="12.75" customHeight="1" x14ac:dyDescent="0.3">
      <c r="D462" s="305"/>
      <c r="E462" s="302"/>
      <c r="F462" s="302"/>
      <c r="G462" s="302"/>
      <c r="H462" s="302"/>
    </row>
    <row r="463" spans="4:8" ht="12.75" customHeight="1" x14ac:dyDescent="0.3">
      <c r="D463" s="305"/>
      <c r="E463" s="302"/>
      <c r="F463" s="302"/>
      <c r="G463" s="302"/>
      <c r="H463" s="302"/>
    </row>
    <row r="464" spans="4:8" ht="12.75" customHeight="1" x14ac:dyDescent="0.3">
      <c r="D464" s="305"/>
      <c r="E464" s="302"/>
      <c r="F464" s="302"/>
      <c r="G464" s="302"/>
      <c r="H464" s="302"/>
    </row>
    <row r="465" spans="4:8" ht="12.75" customHeight="1" x14ac:dyDescent="0.3">
      <c r="D465" s="305"/>
      <c r="E465" s="302"/>
      <c r="F465" s="302"/>
      <c r="G465" s="302"/>
      <c r="H465" s="302"/>
    </row>
    <row r="466" spans="4:8" ht="12.75" customHeight="1" x14ac:dyDescent="0.3">
      <c r="D466" s="305"/>
      <c r="E466" s="302"/>
      <c r="F466" s="302"/>
      <c r="G466" s="302"/>
      <c r="H466" s="302"/>
    </row>
    <row r="467" spans="4:8" ht="12.75" customHeight="1" x14ac:dyDescent="0.3">
      <c r="D467" s="305"/>
      <c r="E467" s="302"/>
      <c r="F467" s="302"/>
      <c r="G467" s="302"/>
      <c r="H467" s="302"/>
    </row>
    <row r="468" spans="4:8" ht="12.75" customHeight="1" x14ac:dyDescent="0.3">
      <c r="D468" s="305"/>
      <c r="E468" s="302"/>
      <c r="F468" s="302"/>
      <c r="G468" s="302"/>
      <c r="H468" s="302"/>
    </row>
    <row r="469" spans="4:8" ht="12.75" customHeight="1" x14ac:dyDescent="0.3">
      <c r="D469" s="305"/>
      <c r="E469" s="302"/>
      <c r="F469" s="302"/>
      <c r="G469" s="302"/>
      <c r="H469" s="302"/>
    </row>
    <row r="470" spans="4:8" ht="12.75" customHeight="1" x14ac:dyDescent="0.3">
      <c r="D470" s="305"/>
      <c r="E470" s="302"/>
      <c r="F470" s="302"/>
      <c r="G470" s="302"/>
      <c r="H470" s="302"/>
    </row>
    <row r="471" spans="4:8" ht="12.75" customHeight="1" x14ac:dyDescent="0.3">
      <c r="D471" s="305"/>
      <c r="E471" s="302"/>
      <c r="F471" s="302"/>
      <c r="G471" s="302"/>
      <c r="H471" s="302"/>
    </row>
    <row r="472" spans="4:8" ht="12.75" customHeight="1" x14ac:dyDescent="0.3">
      <c r="D472" s="305"/>
      <c r="E472" s="302"/>
      <c r="F472" s="302"/>
      <c r="G472" s="302"/>
      <c r="H472" s="302"/>
    </row>
    <row r="473" spans="4:8" ht="12.75" customHeight="1" x14ac:dyDescent="0.3">
      <c r="D473" s="305"/>
      <c r="E473" s="302"/>
      <c r="F473" s="302"/>
      <c r="G473" s="302"/>
      <c r="H473" s="302"/>
    </row>
    <row r="474" spans="4:8" ht="12.75" customHeight="1" x14ac:dyDescent="0.3">
      <c r="D474" s="305"/>
      <c r="E474" s="302"/>
      <c r="F474" s="302"/>
      <c r="G474" s="302"/>
      <c r="H474" s="302"/>
    </row>
    <row r="475" spans="4:8" ht="12.75" customHeight="1" x14ac:dyDescent="0.3">
      <c r="D475" s="305"/>
      <c r="E475" s="302"/>
      <c r="F475" s="302"/>
      <c r="G475" s="302"/>
      <c r="H475" s="302"/>
    </row>
    <row r="476" spans="4:8" ht="12.75" customHeight="1" x14ac:dyDescent="0.3">
      <c r="D476" s="305"/>
      <c r="E476" s="302"/>
      <c r="F476" s="302"/>
      <c r="G476" s="302"/>
      <c r="H476" s="302"/>
    </row>
    <row r="477" spans="4:8" ht="12.75" customHeight="1" x14ac:dyDescent="0.3">
      <c r="D477" s="305"/>
      <c r="E477" s="302"/>
      <c r="F477" s="302"/>
      <c r="G477" s="302"/>
      <c r="H477" s="302"/>
    </row>
    <row r="478" spans="4:8" ht="12.75" customHeight="1" x14ac:dyDescent="0.3">
      <c r="D478" s="305"/>
      <c r="E478" s="302"/>
      <c r="F478" s="302"/>
      <c r="G478" s="302"/>
      <c r="H478" s="302"/>
    </row>
    <row r="479" spans="4:8" ht="12.75" customHeight="1" x14ac:dyDescent="0.3">
      <c r="D479" s="305"/>
      <c r="E479" s="302"/>
      <c r="F479" s="302"/>
      <c r="G479" s="302"/>
      <c r="H479" s="302"/>
    </row>
    <row r="480" spans="4:8" ht="12.75" customHeight="1" x14ac:dyDescent="0.3">
      <c r="D480" s="305"/>
      <c r="E480" s="302"/>
      <c r="F480" s="302"/>
      <c r="G480" s="302"/>
      <c r="H480" s="302"/>
    </row>
    <row r="481" spans="4:8" ht="12.75" customHeight="1" x14ac:dyDescent="0.3">
      <c r="D481" s="305"/>
      <c r="E481" s="302"/>
      <c r="F481" s="302"/>
      <c r="G481" s="302"/>
      <c r="H481" s="302"/>
    </row>
    <row r="482" spans="4:8" ht="12.75" customHeight="1" x14ac:dyDescent="0.3">
      <c r="D482" s="305"/>
      <c r="E482" s="302"/>
      <c r="F482" s="302"/>
      <c r="G482" s="302"/>
      <c r="H482" s="302"/>
    </row>
    <row r="483" spans="4:8" ht="12.75" customHeight="1" x14ac:dyDescent="0.3">
      <c r="D483" s="305"/>
      <c r="E483" s="302"/>
      <c r="F483" s="302"/>
      <c r="G483" s="302"/>
      <c r="H483" s="302"/>
    </row>
    <row r="484" spans="4:8" ht="12.75" customHeight="1" x14ac:dyDescent="0.3">
      <c r="D484" s="305"/>
      <c r="E484" s="302"/>
      <c r="F484" s="302"/>
      <c r="G484" s="302"/>
      <c r="H484" s="302"/>
    </row>
    <row r="485" spans="4:8" ht="12.75" customHeight="1" x14ac:dyDescent="0.3">
      <c r="D485" s="305"/>
      <c r="E485" s="302"/>
      <c r="F485" s="302"/>
      <c r="G485" s="302"/>
      <c r="H485" s="302"/>
    </row>
    <row r="486" spans="4:8" ht="12.75" customHeight="1" x14ac:dyDescent="0.3">
      <c r="D486" s="305"/>
      <c r="E486" s="302"/>
      <c r="F486" s="302"/>
      <c r="G486" s="302"/>
      <c r="H486" s="302"/>
    </row>
    <row r="487" spans="4:8" ht="12.75" customHeight="1" x14ac:dyDescent="0.3">
      <c r="D487" s="305"/>
      <c r="E487" s="302"/>
      <c r="F487" s="302"/>
      <c r="G487" s="302"/>
      <c r="H487" s="302"/>
    </row>
    <row r="488" spans="4:8" ht="12.75" customHeight="1" x14ac:dyDescent="0.3">
      <c r="D488" s="305"/>
      <c r="E488" s="302"/>
      <c r="F488" s="302"/>
      <c r="G488" s="302"/>
      <c r="H488" s="302"/>
    </row>
    <row r="489" spans="4:8" ht="12.75" customHeight="1" x14ac:dyDescent="0.3">
      <c r="D489" s="305"/>
      <c r="E489" s="302"/>
      <c r="F489" s="302"/>
      <c r="G489" s="302"/>
      <c r="H489" s="302"/>
    </row>
    <row r="490" spans="4:8" ht="12.75" customHeight="1" x14ac:dyDescent="0.3">
      <c r="D490" s="305"/>
      <c r="E490" s="302"/>
      <c r="F490" s="302"/>
      <c r="G490" s="302"/>
      <c r="H490" s="302"/>
    </row>
    <row r="491" spans="4:8" ht="12.75" customHeight="1" x14ac:dyDescent="0.3">
      <c r="D491" s="305"/>
      <c r="E491" s="302"/>
      <c r="F491" s="302"/>
      <c r="G491" s="302"/>
      <c r="H491" s="302"/>
    </row>
    <row r="492" spans="4:8" ht="12.75" customHeight="1" x14ac:dyDescent="0.3">
      <c r="D492" s="305"/>
      <c r="E492" s="302"/>
      <c r="F492" s="302"/>
      <c r="G492" s="302"/>
      <c r="H492" s="302"/>
    </row>
    <row r="493" spans="4:8" ht="12.75" customHeight="1" x14ac:dyDescent="0.3">
      <c r="D493" s="305"/>
      <c r="E493" s="302"/>
      <c r="F493" s="302"/>
      <c r="G493" s="302"/>
      <c r="H493" s="302"/>
    </row>
    <row r="494" spans="4:8" ht="12.75" customHeight="1" x14ac:dyDescent="0.3">
      <c r="D494" s="305"/>
      <c r="E494" s="302"/>
      <c r="F494" s="302"/>
      <c r="G494" s="302"/>
      <c r="H494" s="302"/>
    </row>
    <row r="495" spans="4:8" ht="12.75" customHeight="1" x14ac:dyDescent="0.3">
      <c r="D495" s="305"/>
      <c r="E495" s="302"/>
      <c r="F495" s="302"/>
      <c r="G495" s="302"/>
      <c r="H495" s="302"/>
    </row>
    <row r="496" spans="4:8" ht="12.75" customHeight="1" x14ac:dyDescent="0.3">
      <c r="D496" s="305"/>
      <c r="E496" s="302"/>
      <c r="F496" s="302"/>
      <c r="G496" s="302"/>
      <c r="H496" s="302"/>
    </row>
    <row r="497" spans="4:8" ht="12.75" customHeight="1" x14ac:dyDescent="0.3">
      <c r="D497" s="305"/>
      <c r="E497" s="302"/>
      <c r="F497" s="302"/>
      <c r="G497" s="302"/>
      <c r="H497" s="302"/>
    </row>
    <row r="498" spans="4:8" ht="12.75" customHeight="1" x14ac:dyDescent="0.3">
      <c r="D498" s="305"/>
      <c r="E498" s="302"/>
      <c r="F498" s="302"/>
      <c r="G498" s="302"/>
      <c r="H498" s="302"/>
    </row>
    <row r="499" spans="4:8" ht="12.75" customHeight="1" x14ac:dyDescent="0.3">
      <c r="D499" s="305"/>
      <c r="E499" s="302"/>
      <c r="F499" s="302"/>
      <c r="G499" s="302"/>
      <c r="H499" s="302"/>
    </row>
    <row r="500" spans="4:8" ht="12.75" customHeight="1" x14ac:dyDescent="0.3">
      <c r="D500" s="305"/>
      <c r="E500" s="302"/>
      <c r="F500" s="302"/>
      <c r="G500" s="302"/>
      <c r="H500" s="302"/>
    </row>
    <row r="501" spans="4:8" ht="12.75" customHeight="1" x14ac:dyDescent="0.3">
      <c r="D501" s="305"/>
      <c r="E501" s="302"/>
      <c r="F501" s="302"/>
      <c r="G501" s="302"/>
      <c r="H501" s="302"/>
    </row>
    <row r="502" spans="4:8" ht="12.75" customHeight="1" x14ac:dyDescent="0.3">
      <c r="D502" s="305"/>
      <c r="E502" s="302"/>
      <c r="F502" s="302"/>
      <c r="G502" s="302"/>
      <c r="H502" s="302"/>
    </row>
    <row r="503" spans="4:8" ht="12.75" customHeight="1" x14ac:dyDescent="0.3">
      <c r="D503" s="305"/>
      <c r="E503" s="302"/>
      <c r="F503" s="302"/>
      <c r="G503" s="302"/>
      <c r="H503" s="302"/>
    </row>
    <row r="504" spans="4:8" ht="12.75" customHeight="1" x14ac:dyDescent="0.3">
      <c r="D504" s="305"/>
      <c r="E504" s="302"/>
      <c r="F504" s="302"/>
      <c r="G504" s="302"/>
      <c r="H504" s="302"/>
    </row>
    <row r="505" spans="4:8" ht="12.75" customHeight="1" x14ac:dyDescent="0.3">
      <c r="D505" s="305"/>
      <c r="E505" s="302"/>
      <c r="F505" s="302"/>
      <c r="G505" s="302"/>
      <c r="H505" s="302"/>
    </row>
    <row r="506" spans="4:8" ht="12.75" customHeight="1" x14ac:dyDescent="0.3">
      <c r="D506" s="305"/>
      <c r="E506" s="302"/>
      <c r="F506" s="302"/>
      <c r="G506" s="302"/>
      <c r="H506" s="302"/>
    </row>
    <row r="507" spans="4:8" ht="12.75" customHeight="1" x14ac:dyDescent="0.3">
      <c r="D507" s="305"/>
      <c r="E507" s="302"/>
      <c r="F507" s="302"/>
      <c r="G507" s="302"/>
      <c r="H507" s="302"/>
    </row>
    <row r="508" spans="4:8" ht="12.75" customHeight="1" x14ac:dyDescent="0.3">
      <c r="D508" s="305"/>
      <c r="E508" s="302"/>
      <c r="F508" s="302"/>
      <c r="G508" s="302"/>
      <c r="H508" s="302"/>
    </row>
    <row r="509" spans="4:8" ht="12.75" customHeight="1" x14ac:dyDescent="0.3">
      <c r="D509" s="305"/>
      <c r="E509" s="302"/>
      <c r="F509" s="302"/>
      <c r="G509" s="302"/>
      <c r="H509" s="302"/>
    </row>
    <row r="510" spans="4:8" ht="12.75" customHeight="1" x14ac:dyDescent="0.3">
      <c r="D510" s="305"/>
      <c r="E510" s="302"/>
      <c r="F510" s="302"/>
      <c r="G510" s="302"/>
      <c r="H510" s="302"/>
    </row>
    <row r="511" spans="4:8" ht="12.75" customHeight="1" x14ac:dyDescent="0.3">
      <c r="D511" s="305"/>
      <c r="E511" s="302"/>
      <c r="F511" s="302"/>
      <c r="G511" s="302"/>
      <c r="H511" s="302"/>
    </row>
    <row r="512" spans="4:8" ht="12.75" customHeight="1" x14ac:dyDescent="0.3">
      <c r="D512" s="305"/>
      <c r="E512" s="302"/>
      <c r="F512" s="302"/>
      <c r="G512" s="302"/>
      <c r="H512" s="302"/>
    </row>
    <row r="513" spans="4:8" ht="12.75" customHeight="1" x14ac:dyDescent="0.3">
      <c r="D513" s="305"/>
      <c r="E513" s="302"/>
      <c r="F513" s="302"/>
      <c r="G513" s="302"/>
      <c r="H513" s="302"/>
    </row>
    <row r="514" spans="4:8" ht="12.75" customHeight="1" x14ac:dyDescent="0.3">
      <c r="D514" s="305"/>
      <c r="E514" s="302"/>
      <c r="F514" s="302"/>
      <c r="G514" s="302"/>
      <c r="H514" s="302"/>
    </row>
    <row r="515" spans="4:8" ht="12.75" customHeight="1" x14ac:dyDescent="0.3">
      <c r="D515" s="305"/>
      <c r="E515" s="302"/>
      <c r="F515" s="302"/>
      <c r="G515" s="302"/>
      <c r="H515" s="302"/>
    </row>
    <row r="516" spans="4:8" ht="12.75" customHeight="1" x14ac:dyDescent="0.3">
      <c r="D516" s="305"/>
      <c r="E516" s="302"/>
      <c r="F516" s="302"/>
      <c r="G516" s="302"/>
      <c r="H516" s="302"/>
    </row>
    <row r="517" spans="4:8" ht="12.75" customHeight="1" x14ac:dyDescent="0.3">
      <c r="D517" s="305"/>
      <c r="E517" s="302"/>
      <c r="F517" s="302"/>
      <c r="G517" s="302"/>
      <c r="H517" s="302"/>
    </row>
    <row r="518" spans="4:8" ht="12.75" customHeight="1" x14ac:dyDescent="0.3">
      <c r="D518" s="305"/>
      <c r="E518" s="302"/>
      <c r="F518" s="302"/>
      <c r="G518" s="302"/>
      <c r="H518" s="302"/>
    </row>
    <row r="519" spans="4:8" ht="12.75" customHeight="1" x14ac:dyDescent="0.3">
      <c r="D519" s="305"/>
      <c r="E519" s="302"/>
      <c r="F519" s="302"/>
      <c r="G519" s="302"/>
      <c r="H519" s="302"/>
    </row>
    <row r="520" spans="4:8" ht="12.75" customHeight="1" x14ac:dyDescent="0.3">
      <c r="D520" s="305"/>
      <c r="E520" s="302"/>
      <c r="F520" s="302"/>
      <c r="G520" s="302"/>
      <c r="H520" s="302"/>
    </row>
    <row r="521" spans="4:8" ht="12.75" customHeight="1" x14ac:dyDescent="0.3">
      <c r="D521" s="305"/>
      <c r="E521" s="302"/>
      <c r="F521" s="302"/>
      <c r="G521" s="302"/>
      <c r="H521" s="302"/>
    </row>
    <row r="522" spans="4:8" ht="12.75" customHeight="1" x14ac:dyDescent="0.3">
      <c r="D522" s="305"/>
      <c r="E522" s="302"/>
      <c r="F522" s="302"/>
      <c r="G522" s="302"/>
      <c r="H522" s="302"/>
    </row>
    <row r="523" spans="4:8" ht="12.75" customHeight="1" x14ac:dyDescent="0.3">
      <c r="D523" s="305"/>
      <c r="E523" s="302"/>
      <c r="F523" s="302"/>
      <c r="G523" s="302"/>
      <c r="H523" s="302"/>
    </row>
    <row r="524" spans="4:8" ht="12.75" customHeight="1" x14ac:dyDescent="0.3">
      <c r="D524" s="305"/>
      <c r="E524" s="302"/>
      <c r="F524" s="302"/>
      <c r="G524" s="302"/>
      <c r="H524" s="302"/>
    </row>
    <row r="525" spans="4:8" ht="12.75" customHeight="1" x14ac:dyDescent="0.3">
      <c r="D525" s="305"/>
      <c r="E525" s="302"/>
      <c r="F525" s="302"/>
      <c r="G525" s="302"/>
      <c r="H525" s="302"/>
    </row>
    <row r="526" spans="4:8" ht="12.75" customHeight="1" x14ac:dyDescent="0.3">
      <c r="D526" s="305"/>
      <c r="E526" s="302"/>
      <c r="F526" s="302"/>
      <c r="G526" s="302"/>
      <c r="H526" s="302"/>
    </row>
    <row r="527" spans="4:8" ht="12.75" customHeight="1" x14ac:dyDescent="0.3">
      <c r="D527" s="305"/>
      <c r="E527" s="302"/>
      <c r="F527" s="302"/>
      <c r="G527" s="302"/>
      <c r="H527" s="302"/>
    </row>
    <row r="528" spans="4:8" ht="12.75" customHeight="1" x14ac:dyDescent="0.3">
      <c r="D528" s="305"/>
      <c r="E528" s="302"/>
      <c r="F528" s="302"/>
      <c r="G528" s="302"/>
      <c r="H528" s="302"/>
    </row>
    <row r="529" spans="4:8" ht="12.75" customHeight="1" x14ac:dyDescent="0.3">
      <c r="D529" s="305"/>
      <c r="E529" s="302"/>
      <c r="F529" s="302"/>
      <c r="G529" s="302"/>
      <c r="H529" s="302"/>
    </row>
    <row r="530" spans="4:8" ht="12.75" customHeight="1" x14ac:dyDescent="0.3">
      <c r="D530" s="305"/>
      <c r="E530" s="302"/>
      <c r="F530" s="302"/>
      <c r="G530" s="302"/>
      <c r="H530" s="302"/>
    </row>
    <row r="531" spans="4:8" ht="12.75" customHeight="1" x14ac:dyDescent="0.3">
      <c r="D531" s="305"/>
      <c r="E531" s="302"/>
      <c r="F531" s="302"/>
      <c r="G531" s="302"/>
      <c r="H531" s="302"/>
    </row>
    <row r="532" spans="4:8" ht="12.75" customHeight="1" x14ac:dyDescent="0.3">
      <c r="D532" s="305"/>
      <c r="E532" s="302"/>
      <c r="F532" s="302"/>
      <c r="G532" s="302"/>
      <c r="H532" s="302"/>
    </row>
    <row r="533" spans="4:8" ht="12.75" customHeight="1" x14ac:dyDescent="0.3">
      <c r="D533" s="305"/>
      <c r="E533" s="302"/>
      <c r="F533" s="302"/>
      <c r="G533" s="302"/>
      <c r="H533" s="302"/>
    </row>
    <row r="534" spans="4:8" ht="12.75" customHeight="1" x14ac:dyDescent="0.3">
      <c r="D534" s="305"/>
      <c r="E534" s="302"/>
      <c r="F534" s="302"/>
      <c r="G534" s="302"/>
      <c r="H534" s="302"/>
    </row>
    <row r="535" spans="4:8" ht="12.75" customHeight="1" x14ac:dyDescent="0.3">
      <c r="D535" s="305"/>
      <c r="E535" s="302"/>
      <c r="F535" s="302"/>
      <c r="G535" s="302"/>
      <c r="H535" s="302"/>
    </row>
    <row r="536" spans="4:8" ht="12.75" customHeight="1" x14ac:dyDescent="0.3">
      <c r="D536" s="305"/>
      <c r="E536" s="302"/>
      <c r="F536" s="302"/>
      <c r="G536" s="302"/>
      <c r="H536" s="302"/>
    </row>
    <row r="537" spans="4:8" ht="12.75" customHeight="1" x14ac:dyDescent="0.3">
      <c r="D537" s="305"/>
      <c r="E537" s="302"/>
      <c r="F537" s="302"/>
      <c r="G537" s="302"/>
      <c r="H537" s="302"/>
    </row>
    <row r="538" spans="4:8" ht="12.75" customHeight="1" x14ac:dyDescent="0.3">
      <c r="D538" s="305"/>
      <c r="E538" s="302"/>
      <c r="F538" s="302"/>
      <c r="G538" s="302"/>
      <c r="H538" s="302"/>
    </row>
    <row r="539" spans="4:8" ht="12.75" customHeight="1" x14ac:dyDescent="0.3">
      <c r="D539" s="305"/>
      <c r="E539" s="302"/>
      <c r="F539" s="302"/>
      <c r="G539" s="302"/>
      <c r="H539" s="302"/>
    </row>
    <row r="540" spans="4:8" ht="12.75" customHeight="1" x14ac:dyDescent="0.3">
      <c r="D540" s="305"/>
      <c r="E540" s="302"/>
      <c r="F540" s="302"/>
      <c r="G540" s="302"/>
      <c r="H540" s="302"/>
    </row>
    <row r="541" spans="4:8" ht="12.75" customHeight="1" x14ac:dyDescent="0.3">
      <c r="D541" s="305"/>
      <c r="E541" s="302"/>
      <c r="F541" s="302"/>
      <c r="G541" s="302"/>
      <c r="H541" s="302"/>
    </row>
    <row r="542" spans="4:8" ht="12.75" customHeight="1" x14ac:dyDescent="0.3">
      <c r="D542" s="305"/>
      <c r="E542" s="302"/>
      <c r="F542" s="302"/>
      <c r="G542" s="302"/>
      <c r="H542" s="302"/>
    </row>
    <row r="543" spans="4:8" ht="12.75" customHeight="1" x14ac:dyDescent="0.3">
      <c r="D543" s="305"/>
      <c r="E543" s="302"/>
      <c r="F543" s="302"/>
      <c r="G543" s="302"/>
      <c r="H543" s="302"/>
    </row>
    <row r="544" spans="4:8" ht="12.75" customHeight="1" x14ac:dyDescent="0.3">
      <c r="D544" s="305"/>
      <c r="E544" s="302"/>
      <c r="F544" s="302"/>
      <c r="G544" s="302"/>
      <c r="H544" s="302"/>
    </row>
    <row r="545" spans="4:8" ht="12.75" customHeight="1" x14ac:dyDescent="0.3">
      <c r="D545" s="305"/>
      <c r="E545" s="302"/>
      <c r="F545" s="302"/>
      <c r="G545" s="302"/>
      <c r="H545" s="302"/>
    </row>
    <row r="546" spans="4:8" ht="12.75" customHeight="1" x14ac:dyDescent="0.3">
      <c r="D546" s="305"/>
      <c r="E546" s="302"/>
      <c r="F546" s="302"/>
      <c r="G546" s="302"/>
      <c r="H546" s="302"/>
    </row>
    <row r="547" spans="4:8" ht="12.75" customHeight="1" x14ac:dyDescent="0.3">
      <c r="D547" s="305"/>
      <c r="E547" s="302"/>
      <c r="F547" s="302"/>
      <c r="G547" s="302"/>
      <c r="H547" s="302"/>
    </row>
    <row r="548" spans="4:8" ht="12.75" customHeight="1" x14ac:dyDescent="0.3">
      <c r="D548" s="305"/>
      <c r="E548" s="302"/>
      <c r="F548" s="302"/>
      <c r="G548" s="302"/>
      <c r="H548" s="302"/>
    </row>
    <row r="549" spans="4:8" ht="12.75" customHeight="1" x14ac:dyDescent="0.3">
      <c r="D549" s="305"/>
      <c r="E549" s="302"/>
      <c r="F549" s="302"/>
      <c r="G549" s="302"/>
      <c r="H549" s="302"/>
    </row>
    <row r="550" spans="4:8" ht="12.75" customHeight="1" x14ac:dyDescent="0.3">
      <c r="D550" s="305"/>
      <c r="E550" s="302"/>
      <c r="F550" s="302"/>
      <c r="G550" s="302"/>
      <c r="H550" s="302"/>
    </row>
    <row r="551" spans="4:8" ht="12.75" customHeight="1" x14ac:dyDescent="0.3">
      <c r="D551" s="305"/>
      <c r="E551" s="302"/>
      <c r="F551" s="302"/>
      <c r="G551" s="302"/>
      <c r="H551" s="302"/>
    </row>
    <row r="552" spans="4:8" ht="12.75" customHeight="1" x14ac:dyDescent="0.3">
      <c r="D552" s="305"/>
      <c r="E552" s="302"/>
      <c r="F552" s="302"/>
      <c r="G552" s="302"/>
      <c r="H552" s="302"/>
    </row>
    <row r="553" spans="4:8" ht="12.75" customHeight="1" x14ac:dyDescent="0.3">
      <c r="D553" s="305"/>
      <c r="E553" s="302"/>
      <c r="F553" s="302"/>
      <c r="G553" s="302"/>
      <c r="H553" s="302"/>
    </row>
    <row r="554" spans="4:8" ht="12.75" customHeight="1" x14ac:dyDescent="0.3">
      <c r="D554" s="305"/>
      <c r="E554" s="302"/>
      <c r="F554" s="302"/>
      <c r="G554" s="302"/>
      <c r="H554" s="302"/>
    </row>
    <row r="555" spans="4:8" ht="12.75" customHeight="1" x14ac:dyDescent="0.3">
      <c r="D555" s="305"/>
      <c r="E555" s="302"/>
      <c r="F555" s="302"/>
      <c r="G555" s="302"/>
      <c r="H555" s="302"/>
    </row>
    <row r="556" spans="4:8" ht="12.75" customHeight="1" x14ac:dyDescent="0.3">
      <c r="D556" s="305"/>
      <c r="E556" s="302"/>
      <c r="F556" s="302"/>
      <c r="G556" s="302"/>
      <c r="H556" s="302"/>
    </row>
    <row r="557" spans="4:8" ht="12.75" customHeight="1" x14ac:dyDescent="0.3">
      <c r="D557" s="305"/>
      <c r="E557" s="302"/>
      <c r="F557" s="302"/>
      <c r="G557" s="302"/>
      <c r="H557" s="302"/>
    </row>
    <row r="558" spans="4:8" ht="12.75" customHeight="1" x14ac:dyDescent="0.3">
      <c r="D558" s="305"/>
      <c r="E558" s="302"/>
      <c r="F558" s="302"/>
      <c r="G558" s="302"/>
      <c r="H558" s="302"/>
    </row>
    <row r="559" spans="4:8" ht="12.75" customHeight="1" x14ac:dyDescent="0.3">
      <c r="D559" s="305"/>
      <c r="E559" s="302"/>
      <c r="F559" s="302"/>
      <c r="G559" s="302"/>
      <c r="H559" s="302"/>
    </row>
    <row r="560" spans="4:8" ht="12.75" customHeight="1" x14ac:dyDescent="0.3">
      <c r="D560" s="305"/>
      <c r="E560" s="302"/>
      <c r="F560" s="302"/>
      <c r="G560" s="302"/>
      <c r="H560" s="302"/>
    </row>
    <row r="561" spans="4:8" ht="12.75" customHeight="1" x14ac:dyDescent="0.3">
      <c r="D561" s="305"/>
      <c r="E561" s="302"/>
      <c r="F561" s="302"/>
      <c r="G561" s="302"/>
      <c r="H561" s="302"/>
    </row>
    <row r="562" spans="4:8" ht="12.75" customHeight="1" x14ac:dyDescent="0.3">
      <c r="D562" s="305"/>
      <c r="E562" s="302"/>
      <c r="F562" s="302"/>
      <c r="G562" s="302"/>
      <c r="H562" s="302"/>
    </row>
    <row r="563" spans="4:8" ht="12.75" customHeight="1" x14ac:dyDescent="0.3">
      <c r="D563" s="305"/>
      <c r="E563" s="302"/>
      <c r="F563" s="302"/>
      <c r="G563" s="302"/>
      <c r="H563" s="302"/>
    </row>
    <row r="564" spans="4:8" ht="12.75" customHeight="1" x14ac:dyDescent="0.3">
      <c r="D564" s="305"/>
      <c r="E564" s="302"/>
      <c r="F564" s="302"/>
      <c r="G564" s="302"/>
      <c r="H564" s="302"/>
    </row>
    <row r="565" spans="4:8" ht="12.75" customHeight="1" x14ac:dyDescent="0.3">
      <c r="D565" s="305"/>
      <c r="E565" s="302"/>
      <c r="F565" s="302"/>
      <c r="G565" s="302"/>
      <c r="H565" s="302"/>
    </row>
    <row r="566" spans="4:8" ht="12.75" customHeight="1" x14ac:dyDescent="0.3">
      <c r="D566" s="305"/>
      <c r="E566" s="302"/>
      <c r="F566" s="302"/>
      <c r="G566" s="302"/>
      <c r="H566" s="302"/>
    </row>
    <row r="567" spans="4:8" ht="12.75" customHeight="1" x14ac:dyDescent="0.3">
      <c r="D567" s="305"/>
      <c r="E567" s="302"/>
      <c r="F567" s="302"/>
      <c r="G567" s="302"/>
      <c r="H567" s="302"/>
    </row>
    <row r="568" spans="4:8" ht="12.75" customHeight="1" x14ac:dyDescent="0.3">
      <c r="D568" s="305"/>
      <c r="E568" s="302"/>
      <c r="F568" s="302"/>
      <c r="G568" s="302"/>
      <c r="H568" s="302"/>
    </row>
    <row r="569" spans="4:8" ht="12.75" customHeight="1" x14ac:dyDescent="0.3">
      <c r="D569" s="305"/>
      <c r="E569" s="302"/>
      <c r="F569" s="302"/>
      <c r="G569" s="302"/>
      <c r="H569" s="302"/>
    </row>
    <row r="570" spans="4:8" ht="12.75" customHeight="1" x14ac:dyDescent="0.3">
      <c r="D570" s="305"/>
      <c r="E570" s="302"/>
      <c r="F570" s="302"/>
      <c r="G570" s="302"/>
      <c r="H570" s="302"/>
    </row>
    <row r="571" spans="4:8" ht="12.75" customHeight="1" x14ac:dyDescent="0.3">
      <c r="D571" s="305"/>
      <c r="E571" s="302"/>
      <c r="F571" s="302"/>
      <c r="G571" s="302"/>
      <c r="H571" s="302"/>
    </row>
    <row r="572" spans="4:8" ht="12.75" customHeight="1" x14ac:dyDescent="0.3">
      <c r="D572" s="305"/>
      <c r="E572" s="302"/>
      <c r="F572" s="302"/>
      <c r="G572" s="302"/>
      <c r="H572" s="302"/>
    </row>
    <row r="573" spans="4:8" ht="12.75" customHeight="1" x14ac:dyDescent="0.3">
      <c r="D573" s="305"/>
      <c r="E573" s="302"/>
      <c r="F573" s="302"/>
      <c r="G573" s="302"/>
      <c r="H573" s="302"/>
    </row>
    <row r="574" spans="4:8" ht="12.75" customHeight="1" x14ac:dyDescent="0.3">
      <c r="D574" s="305"/>
      <c r="E574" s="302"/>
      <c r="F574" s="302"/>
      <c r="G574" s="302"/>
      <c r="H574" s="302"/>
    </row>
    <row r="575" spans="4:8" ht="12.75" customHeight="1" x14ac:dyDescent="0.3">
      <c r="D575" s="305"/>
      <c r="E575" s="302"/>
      <c r="F575" s="302"/>
      <c r="G575" s="302"/>
      <c r="H575" s="302"/>
    </row>
    <row r="576" spans="4:8" ht="12.75" customHeight="1" x14ac:dyDescent="0.3">
      <c r="D576" s="305"/>
      <c r="E576" s="302"/>
      <c r="F576" s="302"/>
      <c r="G576" s="302"/>
      <c r="H576" s="302"/>
    </row>
    <row r="577" spans="4:8" ht="12.75" customHeight="1" x14ac:dyDescent="0.3">
      <c r="D577" s="305"/>
      <c r="E577" s="302"/>
      <c r="F577" s="302"/>
      <c r="G577" s="302"/>
      <c r="H577" s="302"/>
    </row>
    <row r="578" spans="4:8" ht="12.75" customHeight="1" x14ac:dyDescent="0.3">
      <c r="D578" s="305"/>
      <c r="E578" s="302"/>
      <c r="F578" s="302"/>
      <c r="G578" s="302"/>
      <c r="H578" s="302"/>
    </row>
    <row r="579" spans="4:8" ht="12.75" customHeight="1" x14ac:dyDescent="0.3">
      <c r="D579" s="305"/>
      <c r="E579" s="302"/>
      <c r="F579" s="302"/>
      <c r="G579" s="302"/>
      <c r="H579" s="302"/>
    </row>
    <row r="580" spans="4:8" ht="12.75" customHeight="1" x14ac:dyDescent="0.3">
      <c r="D580" s="305"/>
      <c r="E580" s="302"/>
      <c r="F580" s="302"/>
      <c r="G580" s="302"/>
      <c r="H580" s="302"/>
    </row>
    <row r="581" spans="4:8" ht="12.75" customHeight="1" x14ac:dyDescent="0.3">
      <c r="D581" s="305"/>
      <c r="E581" s="302"/>
      <c r="F581" s="302"/>
      <c r="G581" s="302"/>
      <c r="H581" s="302"/>
    </row>
    <row r="582" spans="4:8" ht="12.75" customHeight="1" x14ac:dyDescent="0.3">
      <c r="D582" s="305"/>
      <c r="E582" s="302"/>
      <c r="F582" s="302"/>
      <c r="G582" s="302"/>
      <c r="H582" s="302"/>
    </row>
    <row r="583" spans="4:8" ht="12.75" customHeight="1" x14ac:dyDescent="0.3">
      <c r="D583" s="305"/>
      <c r="E583" s="302"/>
      <c r="F583" s="302"/>
      <c r="G583" s="302"/>
      <c r="H583" s="302"/>
    </row>
    <row r="584" spans="4:8" ht="12.75" customHeight="1" x14ac:dyDescent="0.3">
      <c r="D584" s="305"/>
      <c r="E584" s="302"/>
      <c r="F584" s="302"/>
      <c r="G584" s="302"/>
      <c r="H584" s="302"/>
    </row>
    <row r="585" spans="4:8" ht="12.75" customHeight="1" x14ac:dyDescent="0.3">
      <c r="D585" s="305"/>
      <c r="E585" s="302"/>
      <c r="F585" s="302"/>
      <c r="G585" s="302"/>
      <c r="H585" s="302"/>
    </row>
    <row r="586" spans="4:8" ht="12.75" customHeight="1" x14ac:dyDescent="0.3">
      <c r="D586" s="305"/>
      <c r="E586" s="302"/>
      <c r="F586" s="302"/>
      <c r="G586" s="302"/>
      <c r="H586" s="302"/>
    </row>
    <row r="587" spans="4:8" ht="12.75" customHeight="1" x14ac:dyDescent="0.3">
      <c r="D587" s="305"/>
      <c r="E587" s="302"/>
      <c r="F587" s="302"/>
      <c r="G587" s="302"/>
      <c r="H587" s="302"/>
    </row>
    <row r="588" spans="4:8" ht="12.75" customHeight="1" x14ac:dyDescent="0.3">
      <c r="D588" s="305"/>
      <c r="E588" s="302"/>
      <c r="F588" s="302"/>
      <c r="G588" s="302"/>
      <c r="H588" s="302"/>
    </row>
    <row r="589" spans="4:8" ht="12.75" customHeight="1" x14ac:dyDescent="0.3">
      <c r="D589" s="305"/>
      <c r="E589" s="302"/>
      <c r="F589" s="302"/>
      <c r="G589" s="302"/>
      <c r="H589" s="302"/>
    </row>
    <row r="590" spans="4:8" ht="12.75" customHeight="1" x14ac:dyDescent="0.3">
      <c r="D590" s="305"/>
      <c r="E590" s="302"/>
      <c r="F590" s="302"/>
      <c r="G590" s="302"/>
      <c r="H590" s="302"/>
    </row>
    <row r="591" spans="4:8" ht="12.75" customHeight="1" x14ac:dyDescent="0.3">
      <c r="D591" s="305"/>
      <c r="E591" s="302"/>
      <c r="F591" s="302"/>
      <c r="G591" s="302"/>
      <c r="H591" s="302"/>
    </row>
    <row r="592" spans="4:8" ht="12.75" customHeight="1" x14ac:dyDescent="0.3">
      <c r="D592" s="305"/>
      <c r="E592" s="302"/>
      <c r="F592" s="302"/>
      <c r="G592" s="302"/>
      <c r="H592" s="302"/>
    </row>
    <row r="593" spans="4:8" ht="12.75" customHeight="1" x14ac:dyDescent="0.3">
      <c r="D593" s="305"/>
      <c r="E593" s="302"/>
      <c r="F593" s="302"/>
      <c r="G593" s="302"/>
      <c r="H593" s="302"/>
    </row>
    <row r="594" spans="4:8" ht="12.75" customHeight="1" x14ac:dyDescent="0.3">
      <c r="D594" s="305"/>
      <c r="E594" s="302"/>
      <c r="F594" s="302"/>
      <c r="G594" s="302"/>
      <c r="H594" s="302"/>
    </row>
    <row r="595" spans="4:8" ht="12.75" customHeight="1" x14ac:dyDescent="0.3">
      <c r="D595" s="305"/>
      <c r="E595" s="302"/>
      <c r="F595" s="302"/>
      <c r="G595" s="302"/>
      <c r="H595" s="302"/>
    </row>
    <row r="596" spans="4:8" ht="12.75" customHeight="1" x14ac:dyDescent="0.3">
      <c r="D596" s="305"/>
      <c r="E596" s="302"/>
      <c r="F596" s="302"/>
      <c r="G596" s="302"/>
      <c r="H596" s="302"/>
    </row>
    <row r="597" spans="4:8" ht="12.75" customHeight="1" x14ac:dyDescent="0.3">
      <c r="D597" s="305"/>
      <c r="E597" s="302"/>
      <c r="F597" s="302"/>
      <c r="G597" s="302"/>
      <c r="H597" s="302"/>
    </row>
    <row r="598" spans="4:8" ht="12.75" customHeight="1" x14ac:dyDescent="0.3">
      <c r="D598" s="305"/>
      <c r="E598" s="302"/>
      <c r="F598" s="302"/>
      <c r="G598" s="302"/>
      <c r="H598" s="302"/>
    </row>
    <row r="599" spans="4:8" ht="12.75" customHeight="1" x14ac:dyDescent="0.3">
      <c r="D599" s="305"/>
      <c r="E599" s="302"/>
      <c r="F599" s="302"/>
      <c r="G599" s="302"/>
      <c r="H599" s="302"/>
    </row>
    <row r="600" spans="4:8" ht="12.75" customHeight="1" x14ac:dyDescent="0.3">
      <c r="D600" s="305"/>
      <c r="E600" s="302"/>
      <c r="F600" s="302"/>
      <c r="G600" s="302"/>
      <c r="H600" s="302"/>
    </row>
    <row r="601" spans="4:8" ht="12.75" customHeight="1" x14ac:dyDescent="0.3">
      <c r="D601" s="305"/>
      <c r="E601" s="302"/>
      <c r="F601" s="302"/>
      <c r="G601" s="302"/>
      <c r="H601" s="302"/>
    </row>
    <row r="602" spans="4:8" ht="12.75" customHeight="1" x14ac:dyDescent="0.3">
      <c r="D602" s="305"/>
      <c r="E602" s="302"/>
      <c r="F602" s="302"/>
      <c r="G602" s="302"/>
      <c r="H602" s="302"/>
    </row>
    <row r="603" spans="4:8" ht="12.75" customHeight="1" x14ac:dyDescent="0.3">
      <c r="D603" s="305"/>
      <c r="E603" s="302"/>
      <c r="F603" s="302"/>
      <c r="G603" s="302"/>
      <c r="H603" s="302"/>
    </row>
    <row r="604" spans="4:8" ht="12.75" customHeight="1" x14ac:dyDescent="0.3">
      <c r="D604" s="305"/>
      <c r="E604" s="302"/>
      <c r="F604" s="302"/>
      <c r="G604" s="302"/>
      <c r="H604" s="302"/>
    </row>
    <row r="605" spans="4:8" ht="12.75" customHeight="1" x14ac:dyDescent="0.3">
      <c r="D605" s="305"/>
      <c r="E605" s="302"/>
      <c r="F605" s="302"/>
      <c r="G605" s="302"/>
      <c r="H605" s="302"/>
    </row>
    <row r="606" spans="4:8" ht="12.75" customHeight="1" x14ac:dyDescent="0.3">
      <c r="D606" s="305"/>
      <c r="E606" s="302"/>
      <c r="F606" s="302"/>
      <c r="G606" s="302"/>
      <c r="H606" s="302"/>
    </row>
    <row r="607" spans="4:8" ht="12.75" customHeight="1" x14ac:dyDescent="0.3">
      <c r="D607" s="305"/>
      <c r="E607" s="302"/>
      <c r="F607" s="302"/>
      <c r="G607" s="302"/>
      <c r="H607" s="302"/>
    </row>
    <row r="608" spans="4:8" ht="12.75" customHeight="1" x14ac:dyDescent="0.3">
      <c r="D608" s="305"/>
      <c r="E608" s="302"/>
      <c r="F608" s="302"/>
      <c r="G608" s="302"/>
      <c r="H608" s="302"/>
    </row>
    <row r="609" spans="4:8" ht="12.75" customHeight="1" x14ac:dyDescent="0.3">
      <c r="D609" s="305"/>
      <c r="E609" s="302"/>
      <c r="F609" s="302"/>
      <c r="G609" s="302"/>
      <c r="H609" s="302"/>
    </row>
    <row r="610" spans="4:8" ht="12.75" customHeight="1" x14ac:dyDescent="0.3">
      <c r="D610" s="305"/>
      <c r="E610" s="302"/>
      <c r="F610" s="302"/>
      <c r="G610" s="302"/>
      <c r="H610" s="302"/>
    </row>
    <row r="611" spans="4:8" ht="12.75" customHeight="1" x14ac:dyDescent="0.3">
      <c r="D611" s="305"/>
      <c r="E611" s="302"/>
      <c r="F611" s="302"/>
      <c r="G611" s="302"/>
      <c r="H611" s="302"/>
    </row>
    <row r="612" spans="4:8" ht="12.75" customHeight="1" x14ac:dyDescent="0.3">
      <c r="D612" s="305"/>
      <c r="E612" s="302"/>
      <c r="F612" s="302"/>
      <c r="G612" s="302"/>
      <c r="H612" s="302"/>
    </row>
    <row r="613" spans="4:8" ht="12.75" customHeight="1" x14ac:dyDescent="0.3">
      <c r="D613" s="305"/>
      <c r="E613" s="302"/>
      <c r="F613" s="302"/>
      <c r="G613" s="302"/>
      <c r="H613" s="302"/>
    </row>
    <row r="614" spans="4:8" ht="12.75" customHeight="1" x14ac:dyDescent="0.3">
      <c r="D614" s="305"/>
      <c r="E614" s="302"/>
      <c r="F614" s="302"/>
      <c r="G614" s="302"/>
      <c r="H614" s="302"/>
    </row>
    <row r="615" spans="4:8" ht="12.75" customHeight="1" x14ac:dyDescent="0.3">
      <c r="D615" s="305"/>
      <c r="E615" s="302"/>
      <c r="F615" s="302"/>
      <c r="G615" s="302"/>
      <c r="H615" s="302"/>
    </row>
    <row r="616" spans="4:8" ht="12.75" customHeight="1" x14ac:dyDescent="0.3">
      <c r="D616" s="305"/>
      <c r="E616" s="302"/>
      <c r="F616" s="302"/>
      <c r="G616" s="302"/>
      <c r="H616" s="302"/>
    </row>
    <row r="617" spans="4:8" ht="12.75" customHeight="1" x14ac:dyDescent="0.3">
      <c r="D617" s="305"/>
      <c r="E617" s="302"/>
      <c r="F617" s="302"/>
      <c r="G617" s="302"/>
      <c r="H617" s="302"/>
    </row>
    <row r="618" spans="4:8" ht="12.75" customHeight="1" x14ac:dyDescent="0.3">
      <c r="D618" s="305"/>
      <c r="E618" s="302"/>
      <c r="F618" s="302"/>
      <c r="G618" s="302"/>
      <c r="H618" s="302"/>
    </row>
    <row r="619" spans="4:8" ht="12.75" customHeight="1" x14ac:dyDescent="0.3">
      <c r="D619" s="305"/>
      <c r="E619" s="302"/>
      <c r="F619" s="302"/>
      <c r="G619" s="302"/>
      <c r="H619" s="302"/>
    </row>
    <row r="620" spans="4:8" ht="12.75" customHeight="1" x14ac:dyDescent="0.3">
      <c r="D620" s="305"/>
      <c r="E620" s="302"/>
      <c r="F620" s="302"/>
      <c r="G620" s="302"/>
      <c r="H620" s="302"/>
    </row>
    <row r="621" spans="4:8" ht="12.75" customHeight="1" x14ac:dyDescent="0.3">
      <c r="D621" s="305"/>
      <c r="E621" s="302"/>
      <c r="F621" s="302"/>
      <c r="G621" s="302"/>
      <c r="H621" s="302"/>
    </row>
    <row r="622" spans="4:8" ht="12.75" customHeight="1" x14ac:dyDescent="0.3">
      <c r="D622" s="305"/>
      <c r="E622" s="302"/>
      <c r="F622" s="302"/>
      <c r="G622" s="302"/>
      <c r="H622" s="302"/>
    </row>
    <row r="623" spans="4:8" ht="12.75" customHeight="1" x14ac:dyDescent="0.3">
      <c r="D623" s="305"/>
      <c r="E623" s="302"/>
      <c r="F623" s="302"/>
      <c r="G623" s="302"/>
      <c r="H623" s="302"/>
    </row>
    <row r="624" spans="4:8" ht="12.75" customHeight="1" x14ac:dyDescent="0.3">
      <c r="D624" s="305"/>
      <c r="E624" s="302"/>
      <c r="F624" s="302"/>
      <c r="G624" s="302"/>
      <c r="H624" s="302"/>
    </row>
    <row r="625" spans="4:8" ht="12.75" customHeight="1" x14ac:dyDescent="0.3">
      <c r="D625" s="305"/>
      <c r="E625" s="302"/>
      <c r="F625" s="302"/>
      <c r="G625" s="302"/>
      <c r="H625" s="302"/>
    </row>
    <row r="626" spans="4:8" ht="12.75" customHeight="1" x14ac:dyDescent="0.3">
      <c r="D626" s="305"/>
      <c r="E626" s="302"/>
      <c r="F626" s="302"/>
      <c r="G626" s="302"/>
      <c r="H626" s="302"/>
    </row>
    <row r="627" spans="4:8" ht="12.75" customHeight="1" x14ac:dyDescent="0.3">
      <c r="D627" s="305"/>
      <c r="E627" s="302"/>
      <c r="F627" s="302"/>
      <c r="G627" s="302"/>
      <c r="H627" s="302"/>
    </row>
    <row r="628" spans="4:8" ht="12.75" customHeight="1" x14ac:dyDescent="0.3">
      <c r="D628" s="305"/>
      <c r="E628" s="302"/>
      <c r="F628" s="302"/>
      <c r="G628" s="302"/>
      <c r="H628" s="302"/>
    </row>
    <row r="629" spans="4:8" ht="12.75" customHeight="1" x14ac:dyDescent="0.3">
      <c r="D629" s="305"/>
      <c r="E629" s="302"/>
      <c r="F629" s="302"/>
      <c r="G629" s="302"/>
      <c r="H629" s="302"/>
    </row>
    <row r="630" spans="4:8" ht="12.75" customHeight="1" x14ac:dyDescent="0.3">
      <c r="D630" s="305"/>
      <c r="E630" s="302"/>
      <c r="F630" s="302"/>
      <c r="G630" s="302"/>
      <c r="H630" s="302"/>
    </row>
    <row r="631" spans="4:8" ht="12.75" customHeight="1" x14ac:dyDescent="0.3">
      <c r="D631" s="305"/>
      <c r="E631" s="302"/>
      <c r="F631" s="302"/>
      <c r="G631" s="302"/>
      <c r="H631" s="302"/>
    </row>
    <row r="632" spans="4:8" ht="12.75" customHeight="1" x14ac:dyDescent="0.3">
      <c r="D632" s="305"/>
      <c r="E632" s="302"/>
      <c r="F632" s="302"/>
      <c r="G632" s="302"/>
      <c r="H632" s="302"/>
    </row>
    <row r="633" spans="4:8" ht="12.75" customHeight="1" x14ac:dyDescent="0.3">
      <c r="D633" s="305"/>
      <c r="E633" s="302"/>
      <c r="F633" s="302"/>
      <c r="G633" s="302"/>
      <c r="H633" s="302"/>
    </row>
    <row r="634" spans="4:8" ht="12.75" customHeight="1" x14ac:dyDescent="0.3">
      <c r="D634" s="305"/>
      <c r="E634" s="302"/>
      <c r="F634" s="302"/>
      <c r="G634" s="302"/>
      <c r="H634" s="302"/>
    </row>
    <row r="635" spans="4:8" ht="12.75" customHeight="1" x14ac:dyDescent="0.3">
      <c r="D635" s="305"/>
      <c r="E635" s="302"/>
      <c r="F635" s="302"/>
      <c r="G635" s="302"/>
      <c r="H635" s="302"/>
    </row>
    <row r="636" spans="4:8" ht="12.75" customHeight="1" x14ac:dyDescent="0.3">
      <c r="D636" s="305"/>
      <c r="E636" s="302"/>
      <c r="F636" s="302"/>
      <c r="G636" s="302"/>
      <c r="H636" s="302"/>
    </row>
    <row r="637" spans="4:8" ht="12.75" customHeight="1" x14ac:dyDescent="0.3">
      <c r="D637" s="305"/>
      <c r="E637" s="302"/>
      <c r="F637" s="302"/>
      <c r="G637" s="302"/>
      <c r="H637" s="302"/>
    </row>
    <row r="638" spans="4:8" ht="12.75" customHeight="1" x14ac:dyDescent="0.3">
      <c r="D638" s="305"/>
      <c r="E638" s="302"/>
      <c r="F638" s="302"/>
      <c r="G638" s="302"/>
      <c r="H638" s="302"/>
    </row>
    <row r="639" spans="4:8" ht="12.75" customHeight="1" x14ac:dyDescent="0.3">
      <c r="D639" s="305"/>
      <c r="E639" s="302"/>
      <c r="F639" s="302"/>
      <c r="G639" s="302"/>
      <c r="H639" s="302"/>
    </row>
    <row r="640" spans="4:8" ht="12.75" customHeight="1" x14ac:dyDescent="0.3">
      <c r="D640" s="305"/>
      <c r="E640" s="302"/>
      <c r="F640" s="302"/>
      <c r="G640" s="302"/>
      <c r="H640" s="302"/>
    </row>
    <row r="641" spans="4:8" ht="12.75" customHeight="1" x14ac:dyDescent="0.3">
      <c r="D641" s="305"/>
      <c r="E641" s="302"/>
      <c r="F641" s="302"/>
      <c r="G641" s="302"/>
      <c r="H641" s="302"/>
    </row>
    <row r="642" spans="4:8" ht="12.75" customHeight="1" x14ac:dyDescent="0.3">
      <c r="D642" s="305"/>
      <c r="E642" s="302"/>
      <c r="F642" s="302"/>
      <c r="G642" s="302"/>
      <c r="H642" s="302"/>
    </row>
    <row r="643" spans="4:8" ht="12.75" customHeight="1" x14ac:dyDescent="0.3">
      <c r="D643" s="305"/>
      <c r="E643" s="302"/>
      <c r="F643" s="302"/>
      <c r="G643" s="302"/>
      <c r="H643" s="302"/>
    </row>
    <row r="644" spans="4:8" ht="12.75" customHeight="1" x14ac:dyDescent="0.3">
      <c r="D644" s="305"/>
      <c r="E644" s="302"/>
      <c r="F644" s="302"/>
      <c r="G644" s="302"/>
      <c r="H644" s="302"/>
    </row>
    <row r="645" spans="4:8" ht="12.75" customHeight="1" x14ac:dyDescent="0.3">
      <c r="D645" s="305"/>
      <c r="E645" s="302"/>
      <c r="F645" s="302"/>
      <c r="G645" s="302"/>
      <c r="H645" s="302"/>
    </row>
    <row r="646" spans="4:8" ht="12.75" customHeight="1" x14ac:dyDescent="0.3">
      <c r="D646" s="305"/>
      <c r="E646" s="302"/>
      <c r="F646" s="302"/>
      <c r="G646" s="302"/>
      <c r="H646" s="302"/>
    </row>
    <row r="647" spans="4:8" ht="12.75" customHeight="1" x14ac:dyDescent="0.3">
      <c r="D647" s="305"/>
      <c r="E647" s="302"/>
      <c r="F647" s="302"/>
      <c r="G647" s="302"/>
      <c r="H647" s="302"/>
    </row>
    <row r="648" spans="4:8" ht="12.75" customHeight="1" x14ac:dyDescent="0.3">
      <c r="D648" s="305"/>
      <c r="E648" s="302"/>
      <c r="F648" s="302"/>
      <c r="G648" s="302"/>
      <c r="H648" s="302"/>
    </row>
    <row r="649" spans="4:8" ht="12.75" customHeight="1" x14ac:dyDescent="0.3">
      <c r="D649" s="305"/>
      <c r="E649" s="302"/>
      <c r="F649" s="302"/>
      <c r="G649" s="302"/>
      <c r="H649" s="302"/>
    </row>
    <row r="650" spans="4:8" ht="12.75" customHeight="1" x14ac:dyDescent="0.3">
      <c r="D650" s="305"/>
      <c r="E650" s="302"/>
      <c r="F650" s="302"/>
      <c r="G650" s="302"/>
      <c r="H650" s="302"/>
    </row>
    <row r="651" spans="4:8" ht="12.75" customHeight="1" x14ac:dyDescent="0.3">
      <c r="D651" s="305"/>
      <c r="E651" s="302"/>
      <c r="F651" s="302"/>
      <c r="G651" s="302"/>
      <c r="H651" s="302"/>
    </row>
    <row r="652" spans="4:8" ht="12.75" customHeight="1" x14ac:dyDescent="0.3">
      <c r="D652" s="305"/>
      <c r="E652" s="302"/>
      <c r="F652" s="302"/>
      <c r="G652" s="302"/>
      <c r="H652" s="302"/>
    </row>
    <row r="653" spans="4:8" ht="12.75" customHeight="1" x14ac:dyDescent="0.3">
      <c r="D653" s="305"/>
      <c r="E653" s="302"/>
      <c r="F653" s="302"/>
      <c r="G653" s="302"/>
      <c r="H653" s="302"/>
    </row>
    <row r="654" spans="4:8" ht="12.75" customHeight="1" x14ac:dyDescent="0.3">
      <c r="D654" s="305"/>
      <c r="E654" s="302"/>
      <c r="F654" s="302"/>
      <c r="G654" s="302"/>
      <c r="H654" s="302"/>
    </row>
    <row r="655" spans="4:8" ht="12.75" customHeight="1" x14ac:dyDescent="0.3">
      <c r="D655" s="305"/>
      <c r="E655" s="302"/>
      <c r="F655" s="302"/>
      <c r="G655" s="302"/>
      <c r="H655" s="302"/>
    </row>
    <row r="656" spans="4:8" ht="12.75" customHeight="1" x14ac:dyDescent="0.3">
      <c r="D656" s="305"/>
      <c r="E656" s="302"/>
      <c r="F656" s="302"/>
      <c r="G656" s="302"/>
      <c r="H656" s="302"/>
    </row>
    <row r="657" spans="4:8" ht="12.75" customHeight="1" x14ac:dyDescent="0.3">
      <c r="D657" s="305"/>
      <c r="E657" s="302"/>
      <c r="F657" s="302"/>
      <c r="G657" s="302"/>
      <c r="H657" s="302"/>
    </row>
    <row r="658" spans="4:8" ht="12.75" customHeight="1" x14ac:dyDescent="0.3">
      <c r="D658" s="305"/>
      <c r="E658" s="302"/>
      <c r="F658" s="302"/>
      <c r="G658" s="302"/>
      <c r="H658" s="302"/>
    </row>
    <row r="659" spans="4:8" ht="12.75" customHeight="1" x14ac:dyDescent="0.3">
      <c r="D659" s="305"/>
      <c r="E659" s="302"/>
      <c r="F659" s="302"/>
      <c r="G659" s="302"/>
      <c r="H659" s="302"/>
    </row>
    <row r="660" spans="4:8" ht="12.75" customHeight="1" x14ac:dyDescent="0.3">
      <c r="D660" s="305"/>
      <c r="E660" s="302"/>
      <c r="F660" s="302"/>
      <c r="G660" s="302"/>
      <c r="H660" s="302"/>
    </row>
    <row r="661" spans="4:8" ht="12.75" customHeight="1" x14ac:dyDescent="0.3">
      <c r="D661" s="305"/>
      <c r="E661" s="302"/>
      <c r="F661" s="302"/>
      <c r="G661" s="302"/>
      <c r="H661" s="302"/>
    </row>
    <row r="662" spans="4:8" ht="12.75" customHeight="1" x14ac:dyDescent="0.3">
      <c r="D662" s="305"/>
      <c r="E662" s="302"/>
      <c r="F662" s="302"/>
      <c r="G662" s="302"/>
      <c r="H662" s="302"/>
    </row>
    <row r="663" spans="4:8" ht="12.75" customHeight="1" x14ac:dyDescent="0.3">
      <c r="D663" s="305"/>
      <c r="E663" s="302"/>
      <c r="F663" s="302"/>
      <c r="G663" s="302"/>
      <c r="H663" s="302"/>
    </row>
    <row r="664" spans="4:8" ht="12.75" customHeight="1" x14ac:dyDescent="0.3">
      <c r="D664" s="305"/>
      <c r="E664" s="302"/>
      <c r="F664" s="302"/>
      <c r="G664" s="302"/>
      <c r="H664" s="302"/>
    </row>
    <row r="665" spans="4:8" ht="12.75" customHeight="1" x14ac:dyDescent="0.3">
      <c r="D665" s="305"/>
      <c r="E665" s="302"/>
      <c r="F665" s="302"/>
      <c r="G665" s="302"/>
      <c r="H665" s="302"/>
    </row>
    <row r="666" spans="4:8" ht="12.75" customHeight="1" x14ac:dyDescent="0.3">
      <c r="D666" s="305"/>
      <c r="E666" s="302"/>
      <c r="F666" s="302"/>
      <c r="G666" s="302"/>
      <c r="H666" s="302"/>
    </row>
    <row r="667" spans="4:8" ht="12.75" customHeight="1" x14ac:dyDescent="0.3">
      <c r="D667" s="305"/>
      <c r="E667" s="302"/>
      <c r="F667" s="302"/>
      <c r="G667" s="302"/>
      <c r="H667" s="302"/>
    </row>
    <row r="668" spans="4:8" ht="12.75" customHeight="1" x14ac:dyDescent="0.3">
      <c r="D668" s="305"/>
      <c r="E668" s="302"/>
      <c r="F668" s="302"/>
      <c r="G668" s="302"/>
      <c r="H668" s="302"/>
    </row>
    <row r="669" spans="4:8" ht="12.75" customHeight="1" x14ac:dyDescent="0.3">
      <c r="D669" s="305"/>
      <c r="E669" s="302"/>
      <c r="F669" s="302"/>
      <c r="G669" s="302"/>
      <c r="H669" s="302"/>
    </row>
    <row r="670" spans="4:8" ht="12.75" customHeight="1" x14ac:dyDescent="0.3">
      <c r="D670" s="305"/>
      <c r="E670" s="302"/>
      <c r="F670" s="302"/>
      <c r="G670" s="302"/>
      <c r="H670" s="302"/>
    </row>
    <row r="671" spans="4:8" ht="12.75" customHeight="1" x14ac:dyDescent="0.3">
      <c r="D671" s="305"/>
      <c r="E671" s="302"/>
      <c r="F671" s="302"/>
      <c r="G671" s="302"/>
      <c r="H671" s="302"/>
    </row>
    <row r="672" spans="4:8" ht="12.75" customHeight="1" x14ac:dyDescent="0.3">
      <c r="D672" s="305"/>
      <c r="E672" s="302"/>
      <c r="F672" s="302"/>
      <c r="G672" s="302"/>
      <c r="H672" s="302"/>
    </row>
    <row r="673" spans="4:8" ht="12.75" customHeight="1" x14ac:dyDescent="0.3">
      <c r="D673" s="305"/>
      <c r="E673" s="302"/>
      <c r="F673" s="302"/>
      <c r="G673" s="302"/>
      <c r="H673" s="302"/>
    </row>
    <row r="674" spans="4:8" ht="12.75" customHeight="1" x14ac:dyDescent="0.3">
      <c r="D674" s="305"/>
      <c r="E674" s="302"/>
      <c r="F674" s="302"/>
      <c r="G674" s="302"/>
      <c r="H674" s="302"/>
    </row>
    <row r="675" spans="4:8" ht="12.75" customHeight="1" x14ac:dyDescent="0.3">
      <c r="D675" s="305"/>
      <c r="E675" s="302"/>
      <c r="F675" s="302"/>
      <c r="G675" s="302"/>
      <c r="H675" s="302"/>
    </row>
    <row r="676" spans="4:8" ht="12.75" customHeight="1" x14ac:dyDescent="0.3">
      <c r="D676" s="305"/>
      <c r="E676" s="302"/>
      <c r="F676" s="302"/>
      <c r="G676" s="302"/>
      <c r="H676" s="302"/>
    </row>
    <row r="677" spans="4:8" ht="12.75" customHeight="1" x14ac:dyDescent="0.3">
      <c r="D677" s="305"/>
      <c r="E677" s="302"/>
      <c r="F677" s="302"/>
      <c r="G677" s="302"/>
      <c r="H677" s="302"/>
    </row>
    <row r="678" spans="4:8" ht="12.75" customHeight="1" x14ac:dyDescent="0.3">
      <c r="D678" s="305"/>
      <c r="E678" s="302"/>
      <c r="F678" s="302"/>
      <c r="G678" s="302"/>
      <c r="H678" s="302"/>
    </row>
    <row r="679" spans="4:8" ht="12.75" customHeight="1" x14ac:dyDescent="0.3">
      <c r="D679" s="305"/>
      <c r="E679" s="302"/>
      <c r="F679" s="302"/>
      <c r="G679" s="302"/>
      <c r="H679" s="302"/>
    </row>
    <row r="680" spans="4:8" ht="12.75" customHeight="1" x14ac:dyDescent="0.3">
      <c r="D680" s="305"/>
      <c r="E680" s="302"/>
      <c r="F680" s="302"/>
      <c r="G680" s="302"/>
      <c r="H680" s="302"/>
    </row>
    <row r="681" spans="4:8" ht="12.75" customHeight="1" x14ac:dyDescent="0.3">
      <c r="D681" s="305"/>
      <c r="E681" s="302"/>
      <c r="F681" s="302"/>
      <c r="G681" s="302"/>
      <c r="H681" s="302"/>
    </row>
    <row r="682" spans="4:8" ht="12.75" customHeight="1" x14ac:dyDescent="0.3">
      <c r="D682" s="305"/>
      <c r="E682" s="302"/>
      <c r="F682" s="302"/>
      <c r="G682" s="302"/>
      <c r="H682" s="302"/>
    </row>
    <row r="683" spans="4:8" ht="12.75" customHeight="1" x14ac:dyDescent="0.3">
      <c r="D683" s="305"/>
      <c r="E683" s="302"/>
      <c r="F683" s="302"/>
      <c r="G683" s="302"/>
      <c r="H683" s="302"/>
    </row>
    <row r="684" spans="4:8" ht="12.75" customHeight="1" x14ac:dyDescent="0.3">
      <c r="D684" s="305"/>
      <c r="E684" s="302"/>
      <c r="F684" s="302"/>
      <c r="G684" s="302"/>
      <c r="H684" s="302"/>
    </row>
    <row r="685" spans="4:8" ht="12.75" customHeight="1" x14ac:dyDescent="0.3">
      <c r="D685" s="305"/>
      <c r="E685" s="302"/>
      <c r="F685" s="302"/>
      <c r="G685" s="302"/>
      <c r="H685" s="302"/>
    </row>
    <row r="686" spans="4:8" ht="12.75" customHeight="1" x14ac:dyDescent="0.3">
      <c r="D686" s="305"/>
      <c r="E686" s="302"/>
      <c r="F686" s="302"/>
      <c r="G686" s="302"/>
      <c r="H686" s="302"/>
    </row>
    <row r="687" spans="4:8" ht="12.75" customHeight="1" x14ac:dyDescent="0.3">
      <c r="D687" s="305"/>
      <c r="E687" s="302"/>
      <c r="F687" s="302"/>
      <c r="G687" s="302"/>
      <c r="H687" s="302"/>
    </row>
    <row r="688" spans="4:8" ht="12.75" customHeight="1" x14ac:dyDescent="0.3">
      <c r="D688" s="305"/>
      <c r="E688" s="302"/>
      <c r="F688" s="302"/>
      <c r="G688" s="302"/>
      <c r="H688" s="302"/>
    </row>
    <row r="689" spans="4:8" ht="12.75" customHeight="1" x14ac:dyDescent="0.3">
      <c r="D689" s="305"/>
      <c r="E689" s="302"/>
      <c r="F689" s="302"/>
      <c r="G689" s="302"/>
      <c r="H689" s="302"/>
    </row>
    <row r="690" spans="4:8" ht="12.75" customHeight="1" x14ac:dyDescent="0.3">
      <c r="D690" s="305"/>
      <c r="E690" s="302"/>
      <c r="F690" s="302"/>
      <c r="G690" s="302"/>
      <c r="H690" s="302"/>
    </row>
    <row r="691" spans="4:8" ht="12.75" customHeight="1" x14ac:dyDescent="0.3">
      <c r="D691" s="305"/>
      <c r="E691" s="302"/>
      <c r="F691" s="302"/>
      <c r="G691" s="302"/>
      <c r="H691" s="302"/>
    </row>
    <row r="692" spans="4:8" ht="12.75" customHeight="1" x14ac:dyDescent="0.3">
      <c r="D692" s="305"/>
      <c r="E692" s="302"/>
      <c r="F692" s="302"/>
      <c r="G692" s="302"/>
      <c r="H692" s="302"/>
    </row>
    <row r="693" spans="4:8" ht="12.75" customHeight="1" x14ac:dyDescent="0.3">
      <c r="D693" s="305"/>
      <c r="E693" s="302"/>
      <c r="F693" s="302"/>
      <c r="G693" s="302"/>
      <c r="H693" s="302"/>
    </row>
    <row r="694" spans="4:8" ht="12.75" customHeight="1" x14ac:dyDescent="0.3">
      <c r="D694" s="305"/>
      <c r="E694" s="302"/>
      <c r="F694" s="302"/>
      <c r="G694" s="302"/>
      <c r="H694" s="302"/>
    </row>
    <row r="695" spans="4:8" ht="12.75" customHeight="1" x14ac:dyDescent="0.3">
      <c r="D695" s="305"/>
      <c r="E695" s="302"/>
      <c r="F695" s="302"/>
      <c r="G695" s="302"/>
      <c r="H695" s="302"/>
    </row>
    <row r="696" spans="4:8" ht="12.75" customHeight="1" x14ac:dyDescent="0.3">
      <c r="D696" s="305"/>
      <c r="E696" s="302"/>
      <c r="F696" s="302"/>
      <c r="G696" s="302"/>
      <c r="H696" s="302"/>
    </row>
    <row r="697" spans="4:8" ht="12.75" customHeight="1" x14ac:dyDescent="0.3">
      <c r="D697" s="305"/>
      <c r="E697" s="302"/>
      <c r="F697" s="302"/>
      <c r="G697" s="302"/>
      <c r="H697" s="302"/>
    </row>
    <row r="698" spans="4:8" ht="12.75" customHeight="1" x14ac:dyDescent="0.3">
      <c r="D698" s="305"/>
      <c r="E698" s="302"/>
      <c r="F698" s="302"/>
      <c r="G698" s="302"/>
      <c r="H698" s="302"/>
    </row>
    <row r="699" spans="4:8" ht="12.75" customHeight="1" x14ac:dyDescent="0.3">
      <c r="D699" s="305"/>
      <c r="E699" s="302"/>
      <c r="F699" s="302"/>
      <c r="G699" s="302"/>
      <c r="H699" s="302"/>
    </row>
    <row r="700" spans="4:8" ht="12.75" customHeight="1" x14ac:dyDescent="0.3">
      <c r="D700" s="305"/>
      <c r="E700" s="302"/>
      <c r="F700" s="302"/>
      <c r="G700" s="302"/>
      <c r="H700" s="302"/>
    </row>
    <row r="701" spans="4:8" ht="12.75" customHeight="1" x14ac:dyDescent="0.3">
      <c r="D701" s="305"/>
      <c r="E701" s="302"/>
      <c r="F701" s="302"/>
      <c r="G701" s="302"/>
      <c r="H701" s="302"/>
    </row>
    <row r="702" spans="4:8" ht="12.75" customHeight="1" x14ac:dyDescent="0.3">
      <c r="D702" s="305"/>
      <c r="E702" s="302"/>
      <c r="F702" s="302"/>
      <c r="G702" s="302"/>
      <c r="H702" s="302"/>
    </row>
    <row r="703" spans="4:8" ht="12.75" customHeight="1" x14ac:dyDescent="0.3">
      <c r="D703" s="305"/>
      <c r="E703" s="302"/>
      <c r="F703" s="302"/>
      <c r="G703" s="302"/>
      <c r="H703" s="302"/>
    </row>
    <row r="704" spans="4:8" ht="12.75" customHeight="1" x14ac:dyDescent="0.3">
      <c r="D704" s="305"/>
      <c r="E704" s="302"/>
      <c r="F704" s="302"/>
      <c r="G704" s="302"/>
      <c r="H704" s="302"/>
    </row>
    <row r="705" spans="4:8" ht="12.75" customHeight="1" x14ac:dyDescent="0.3">
      <c r="D705" s="305"/>
      <c r="E705" s="302"/>
      <c r="F705" s="302"/>
      <c r="G705" s="302"/>
      <c r="H705" s="302"/>
    </row>
    <row r="706" spans="4:8" ht="12.75" customHeight="1" x14ac:dyDescent="0.3">
      <c r="D706" s="305"/>
      <c r="E706" s="302"/>
      <c r="F706" s="302"/>
      <c r="G706" s="302"/>
      <c r="H706" s="302"/>
    </row>
    <row r="707" spans="4:8" ht="12.75" customHeight="1" x14ac:dyDescent="0.3">
      <c r="D707" s="305"/>
      <c r="E707" s="302"/>
      <c r="F707" s="302"/>
      <c r="G707" s="302"/>
      <c r="H707" s="302"/>
    </row>
    <row r="708" spans="4:8" ht="12.75" customHeight="1" x14ac:dyDescent="0.3">
      <c r="D708" s="305"/>
      <c r="E708" s="302"/>
      <c r="F708" s="302"/>
      <c r="G708" s="302"/>
      <c r="H708" s="302"/>
    </row>
    <row r="709" spans="4:8" ht="12.75" customHeight="1" x14ac:dyDescent="0.3">
      <c r="D709" s="305"/>
      <c r="E709" s="302"/>
      <c r="F709" s="302"/>
      <c r="G709" s="302"/>
      <c r="H709" s="302"/>
    </row>
    <row r="710" spans="4:8" ht="12.75" customHeight="1" x14ac:dyDescent="0.3">
      <c r="D710" s="305"/>
      <c r="E710" s="302"/>
      <c r="F710" s="302"/>
      <c r="G710" s="302"/>
      <c r="H710" s="302"/>
    </row>
    <row r="711" spans="4:8" ht="12.75" customHeight="1" x14ac:dyDescent="0.3">
      <c r="D711" s="305"/>
      <c r="E711" s="302"/>
      <c r="F711" s="302"/>
      <c r="G711" s="302"/>
      <c r="H711" s="302"/>
    </row>
    <row r="712" spans="4:8" ht="12.75" customHeight="1" x14ac:dyDescent="0.3">
      <c r="D712" s="305"/>
      <c r="E712" s="302"/>
      <c r="F712" s="302"/>
      <c r="G712" s="302"/>
      <c r="H712" s="302"/>
    </row>
    <row r="713" spans="4:8" ht="12.75" customHeight="1" x14ac:dyDescent="0.3">
      <c r="D713" s="305"/>
      <c r="E713" s="302"/>
      <c r="F713" s="302"/>
      <c r="G713" s="302"/>
      <c r="H713" s="302"/>
    </row>
    <row r="714" spans="4:8" ht="12.75" customHeight="1" x14ac:dyDescent="0.3">
      <c r="D714" s="305"/>
      <c r="E714" s="302"/>
      <c r="F714" s="302"/>
      <c r="G714" s="302"/>
      <c r="H714" s="302"/>
    </row>
    <row r="715" spans="4:8" ht="12.75" customHeight="1" x14ac:dyDescent="0.3">
      <c r="D715" s="305"/>
      <c r="E715" s="302"/>
      <c r="F715" s="302"/>
      <c r="G715" s="302"/>
      <c r="H715" s="302"/>
    </row>
    <row r="716" spans="4:8" ht="12.75" customHeight="1" x14ac:dyDescent="0.3">
      <c r="D716" s="305"/>
      <c r="E716" s="302"/>
      <c r="F716" s="302"/>
      <c r="G716" s="302"/>
      <c r="H716" s="302"/>
    </row>
    <row r="717" spans="4:8" ht="12.75" customHeight="1" x14ac:dyDescent="0.3">
      <c r="D717" s="305"/>
      <c r="E717" s="302"/>
      <c r="F717" s="302"/>
      <c r="G717" s="302"/>
      <c r="H717" s="302"/>
    </row>
    <row r="718" spans="4:8" ht="12.75" customHeight="1" x14ac:dyDescent="0.3">
      <c r="D718" s="305"/>
      <c r="E718" s="302"/>
      <c r="F718" s="302"/>
      <c r="G718" s="302"/>
      <c r="H718" s="302"/>
    </row>
    <row r="719" spans="4:8" ht="12.75" customHeight="1" x14ac:dyDescent="0.3">
      <c r="D719" s="305"/>
      <c r="E719" s="302"/>
      <c r="F719" s="302"/>
      <c r="G719" s="302"/>
      <c r="H719" s="302"/>
    </row>
    <row r="720" spans="4:8" ht="12.75" customHeight="1" x14ac:dyDescent="0.3">
      <c r="D720" s="305"/>
      <c r="E720" s="302"/>
      <c r="F720" s="302"/>
      <c r="G720" s="302"/>
      <c r="H720" s="302"/>
    </row>
    <row r="721" spans="4:8" ht="12.75" customHeight="1" x14ac:dyDescent="0.3">
      <c r="D721" s="305"/>
      <c r="E721" s="302"/>
      <c r="F721" s="302"/>
      <c r="G721" s="302"/>
      <c r="H721" s="302"/>
    </row>
    <row r="722" spans="4:8" ht="12.75" customHeight="1" x14ac:dyDescent="0.3">
      <c r="D722" s="305"/>
      <c r="E722" s="302"/>
      <c r="F722" s="302"/>
      <c r="G722" s="302"/>
      <c r="H722" s="302"/>
    </row>
    <row r="723" spans="4:8" ht="12.75" customHeight="1" x14ac:dyDescent="0.3">
      <c r="D723" s="305"/>
      <c r="E723" s="302"/>
      <c r="F723" s="302"/>
      <c r="G723" s="302"/>
      <c r="H723" s="302"/>
    </row>
    <row r="724" spans="4:8" ht="12.75" customHeight="1" x14ac:dyDescent="0.3">
      <c r="D724" s="305"/>
      <c r="E724" s="302"/>
      <c r="F724" s="302"/>
      <c r="G724" s="302"/>
      <c r="H724" s="302"/>
    </row>
    <row r="725" spans="4:8" ht="12.75" customHeight="1" x14ac:dyDescent="0.3">
      <c r="D725" s="305"/>
      <c r="E725" s="302"/>
      <c r="F725" s="302"/>
      <c r="G725" s="302"/>
      <c r="H725" s="302"/>
    </row>
    <row r="726" spans="4:8" ht="12.75" customHeight="1" x14ac:dyDescent="0.3">
      <c r="D726" s="305"/>
      <c r="E726" s="302"/>
      <c r="F726" s="302"/>
      <c r="G726" s="302"/>
      <c r="H726" s="302"/>
    </row>
    <row r="727" spans="4:8" ht="12.75" customHeight="1" x14ac:dyDescent="0.3">
      <c r="D727" s="305"/>
      <c r="E727" s="302"/>
      <c r="F727" s="302"/>
      <c r="G727" s="302"/>
      <c r="H727" s="302"/>
    </row>
    <row r="728" spans="4:8" ht="12.75" customHeight="1" x14ac:dyDescent="0.3">
      <c r="D728" s="305"/>
      <c r="E728" s="302"/>
      <c r="F728" s="302"/>
      <c r="G728" s="302"/>
      <c r="H728" s="302"/>
    </row>
    <row r="729" spans="4:8" ht="12.75" customHeight="1" x14ac:dyDescent="0.3">
      <c r="D729" s="305"/>
      <c r="E729" s="302"/>
      <c r="F729" s="302"/>
      <c r="G729" s="302"/>
      <c r="H729" s="302"/>
    </row>
    <row r="730" spans="4:8" ht="12.75" customHeight="1" x14ac:dyDescent="0.3">
      <c r="D730" s="305"/>
      <c r="E730" s="302"/>
      <c r="F730" s="302"/>
      <c r="G730" s="302"/>
      <c r="H730" s="302"/>
    </row>
    <row r="731" spans="4:8" ht="12.75" customHeight="1" x14ac:dyDescent="0.3">
      <c r="D731" s="305"/>
      <c r="E731" s="302"/>
      <c r="F731" s="302"/>
      <c r="G731" s="302"/>
      <c r="H731" s="302"/>
    </row>
    <row r="732" spans="4:8" ht="12.75" customHeight="1" x14ac:dyDescent="0.3">
      <c r="D732" s="305"/>
      <c r="E732" s="302"/>
      <c r="F732" s="302"/>
      <c r="G732" s="302"/>
      <c r="H732" s="302"/>
    </row>
    <row r="733" spans="4:8" ht="12.75" customHeight="1" x14ac:dyDescent="0.3">
      <c r="D733" s="305"/>
      <c r="E733" s="302"/>
      <c r="F733" s="302"/>
      <c r="G733" s="302"/>
      <c r="H733" s="302"/>
    </row>
    <row r="734" spans="4:8" ht="12.75" customHeight="1" x14ac:dyDescent="0.3">
      <c r="D734" s="305"/>
      <c r="E734" s="302"/>
      <c r="F734" s="302"/>
      <c r="G734" s="302"/>
      <c r="H734" s="302"/>
    </row>
    <row r="735" spans="4:8" ht="12.75" customHeight="1" x14ac:dyDescent="0.3">
      <c r="D735" s="305"/>
      <c r="E735" s="302"/>
      <c r="F735" s="302"/>
      <c r="G735" s="302"/>
      <c r="H735" s="302"/>
    </row>
    <row r="736" spans="4:8" ht="12.75" customHeight="1" x14ac:dyDescent="0.3">
      <c r="D736" s="305"/>
      <c r="E736" s="302"/>
      <c r="F736" s="302"/>
      <c r="G736" s="302"/>
      <c r="H736" s="302"/>
    </row>
    <row r="737" spans="4:8" ht="12.75" customHeight="1" x14ac:dyDescent="0.3">
      <c r="D737" s="305"/>
      <c r="E737" s="302"/>
      <c r="F737" s="302"/>
      <c r="G737" s="302"/>
      <c r="H737" s="302"/>
    </row>
    <row r="738" spans="4:8" ht="12.75" customHeight="1" x14ac:dyDescent="0.3">
      <c r="D738" s="305"/>
      <c r="E738" s="302"/>
      <c r="F738" s="302"/>
      <c r="G738" s="302"/>
      <c r="H738" s="302"/>
    </row>
    <row r="739" spans="4:8" ht="12.75" customHeight="1" x14ac:dyDescent="0.3">
      <c r="D739" s="305"/>
      <c r="E739" s="302"/>
      <c r="F739" s="302"/>
      <c r="G739" s="302"/>
      <c r="H739" s="302"/>
    </row>
    <row r="740" spans="4:8" ht="12.75" customHeight="1" x14ac:dyDescent="0.3">
      <c r="D740" s="305"/>
      <c r="E740" s="302"/>
      <c r="F740" s="302"/>
      <c r="G740" s="302"/>
      <c r="H740" s="302"/>
    </row>
    <row r="741" spans="4:8" ht="12.75" customHeight="1" x14ac:dyDescent="0.3">
      <c r="D741" s="305"/>
      <c r="E741" s="302"/>
      <c r="F741" s="302"/>
      <c r="G741" s="302"/>
      <c r="H741" s="302"/>
    </row>
    <row r="742" spans="4:8" ht="12.75" customHeight="1" x14ac:dyDescent="0.3">
      <c r="D742" s="305"/>
      <c r="E742" s="302"/>
      <c r="F742" s="302"/>
      <c r="G742" s="302"/>
      <c r="H742" s="302"/>
    </row>
    <row r="743" spans="4:8" ht="13.5" customHeight="1" x14ac:dyDescent="0.3">
      <c r="D743" s="305"/>
      <c r="E743" s="302"/>
      <c r="F743" s="302"/>
      <c r="G743" s="302"/>
      <c r="H743" s="302"/>
    </row>
    <row r="744" spans="4:8" ht="12.75" customHeight="1" x14ac:dyDescent="0.3">
      <c r="D744" s="305"/>
      <c r="E744" s="302"/>
      <c r="F744" s="302"/>
      <c r="G744" s="302"/>
      <c r="H744" s="302"/>
    </row>
    <row r="745" spans="4:8" ht="12.75" customHeight="1" x14ac:dyDescent="0.3">
      <c r="D745" s="305"/>
      <c r="E745" s="302"/>
      <c r="F745" s="302"/>
      <c r="G745" s="302"/>
      <c r="H745" s="302"/>
    </row>
    <row r="746" spans="4:8" ht="12.75" customHeight="1" x14ac:dyDescent="0.3">
      <c r="D746" s="305"/>
      <c r="E746" s="302"/>
      <c r="F746" s="302"/>
      <c r="G746" s="302"/>
      <c r="H746" s="302"/>
    </row>
    <row r="747" spans="4:8" ht="12.75" customHeight="1" x14ac:dyDescent="0.3">
      <c r="D747" s="305"/>
      <c r="E747" s="302"/>
      <c r="F747" s="302"/>
      <c r="G747" s="302"/>
      <c r="H747" s="302"/>
    </row>
    <row r="748" spans="4:8" ht="12.75" customHeight="1" x14ac:dyDescent="0.3">
      <c r="D748" s="305"/>
      <c r="E748" s="302"/>
      <c r="F748" s="302"/>
      <c r="G748" s="302"/>
      <c r="H748" s="302"/>
    </row>
    <row r="749" spans="4:8" ht="12.75" customHeight="1" x14ac:dyDescent="0.3">
      <c r="D749" s="305"/>
      <c r="E749" s="302"/>
      <c r="F749" s="302"/>
      <c r="G749" s="302"/>
      <c r="H749" s="302"/>
    </row>
    <row r="750" spans="4:8" ht="12.75" customHeight="1" x14ac:dyDescent="0.3">
      <c r="D750" s="305"/>
      <c r="E750" s="302"/>
      <c r="F750" s="302"/>
      <c r="G750" s="302"/>
      <c r="H750" s="302"/>
    </row>
    <row r="751" spans="4:8" ht="12.75" customHeight="1" x14ac:dyDescent="0.3">
      <c r="D751" s="305"/>
      <c r="E751" s="302"/>
      <c r="F751" s="302"/>
      <c r="G751" s="302"/>
      <c r="H751" s="302"/>
    </row>
    <row r="752" spans="4:8" ht="12.75" customHeight="1" x14ac:dyDescent="0.3">
      <c r="D752" s="305"/>
      <c r="E752" s="302"/>
      <c r="F752" s="302"/>
      <c r="G752" s="302"/>
      <c r="H752" s="302"/>
    </row>
    <row r="753" spans="4:8" ht="12.75" customHeight="1" x14ac:dyDescent="0.3">
      <c r="D753" s="305"/>
      <c r="E753" s="302"/>
      <c r="F753" s="302"/>
      <c r="G753" s="302"/>
      <c r="H753" s="302"/>
    </row>
    <row r="754" spans="4:8" ht="12.75" customHeight="1" x14ac:dyDescent="0.3">
      <c r="D754" s="305"/>
      <c r="E754" s="302"/>
      <c r="F754" s="302"/>
      <c r="G754" s="302"/>
      <c r="H754" s="302"/>
    </row>
    <row r="755" spans="4:8" ht="12.75" customHeight="1" x14ac:dyDescent="0.3">
      <c r="D755" s="305"/>
      <c r="E755" s="302"/>
      <c r="F755" s="302"/>
      <c r="G755" s="302"/>
      <c r="H755" s="302"/>
    </row>
    <row r="756" spans="4:8" ht="12.75" customHeight="1" x14ac:dyDescent="0.3">
      <c r="D756" s="305"/>
      <c r="E756" s="302"/>
      <c r="F756" s="302"/>
      <c r="G756" s="302"/>
      <c r="H756" s="302"/>
    </row>
    <row r="757" spans="4:8" ht="12.75" customHeight="1" x14ac:dyDescent="0.3">
      <c r="D757" s="305"/>
      <c r="E757" s="302"/>
      <c r="F757" s="302"/>
      <c r="G757" s="302"/>
      <c r="H757" s="302"/>
    </row>
    <row r="758" spans="4:8" ht="12.75" customHeight="1" x14ac:dyDescent="0.3">
      <c r="D758" s="305"/>
      <c r="E758" s="302"/>
      <c r="F758" s="302"/>
      <c r="G758" s="302"/>
      <c r="H758" s="302"/>
    </row>
    <row r="759" spans="4:8" ht="12.75" customHeight="1" x14ac:dyDescent="0.3">
      <c r="D759" s="305"/>
      <c r="E759" s="302"/>
      <c r="F759" s="302"/>
      <c r="G759" s="302"/>
      <c r="H759" s="302"/>
    </row>
    <row r="760" spans="4:8" ht="12.75" customHeight="1" x14ac:dyDescent="0.3">
      <c r="D760" s="305"/>
      <c r="E760" s="302"/>
      <c r="F760" s="302"/>
      <c r="G760" s="302"/>
      <c r="H760" s="302"/>
    </row>
    <row r="761" spans="4:8" ht="12.75" customHeight="1" x14ac:dyDescent="0.3">
      <c r="D761" s="305"/>
      <c r="E761" s="302"/>
      <c r="F761" s="302"/>
      <c r="G761" s="302"/>
      <c r="H761" s="302"/>
    </row>
    <row r="762" spans="4:8" ht="12.75" customHeight="1" x14ac:dyDescent="0.3">
      <c r="D762" s="305"/>
      <c r="E762" s="302"/>
      <c r="F762" s="302"/>
      <c r="G762" s="302"/>
      <c r="H762" s="302"/>
    </row>
    <row r="763" spans="4:8" ht="12.75" customHeight="1" x14ac:dyDescent="0.3">
      <c r="D763" s="305"/>
      <c r="E763" s="302"/>
      <c r="F763" s="302"/>
      <c r="G763" s="302"/>
      <c r="H763" s="302"/>
    </row>
    <row r="764" spans="4:8" ht="12.75" customHeight="1" x14ac:dyDescent="0.3">
      <c r="D764" s="305"/>
      <c r="E764" s="302"/>
      <c r="F764" s="302"/>
      <c r="G764" s="302"/>
      <c r="H764" s="302"/>
    </row>
    <row r="765" spans="4:8" ht="12.75" customHeight="1" x14ac:dyDescent="0.3">
      <c r="D765" s="305"/>
      <c r="E765" s="302"/>
      <c r="F765" s="302"/>
      <c r="G765" s="302"/>
      <c r="H765" s="302"/>
    </row>
    <row r="766" spans="4:8" ht="12.75" customHeight="1" x14ac:dyDescent="0.3">
      <c r="D766" s="305"/>
      <c r="E766" s="302"/>
      <c r="F766" s="302"/>
      <c r="G766" s="302"/>
      <c r="H766" s="302"/>
    </row>
    <row r="767" spans="4:8" ht="12.75" customHeight="1" x14ac:dyDescent="0.3">
      <c r="D767" s="305"/>
      <c r="E767" s="302"/>
      <c r="F767" s="302"/>
      <c r="G767" s="302"/>
      <c r="H767" s="302"/>
    </row>
    <row r="768" spans="4:8" ht="12.75" customHeight="1" x14ac:dyDescent="0.3">
      <c r="D768" s="305"/>
      <c r="E768" s="302"/>
      <c r="F768" s="302"/>
      <c r="G768" s="302"/>
      <c r="H768" s="302"/>
    </row>
    <row r="769" spans="4:30" ht="12.75" customHeight="1" x14ac:dyDescent="0.3">
      <c r="D769" s="305"/>
      <c r="E769" s="302"/>
      <c r="F769" s="302"/>
      <c r="G769" s="302"/>
      <c r="H769" s="302"/>
    </row>
    <row r="770" spans="4:30" ht="12.75" customHeight="1" x14ac:dyDescent="0.3">
      <c r="D770" s="305"/>
      <c r="E770" s="302"/>
      <c r="F770" s="302"/>
      <c r="G770" s="302"/>
      <c r="H770" s="302"/>
      <c r="AD770" s="91">
        <v>1</v>
      </c>
    </row>
    <row r="771" spans="4:30" ht="12.75" customHeight="1" x14ac:dyDescent="0.3">
      <c r="D771" s="305"/>
      <c r="E771" s="302"/>
      <c r="F771" s="302"/>
      <c r="G771" s="302"/>
      <c r="H771" s="302"/>
    </row>
    <row r="772" spans="4:30" ht="12.75" customHeight="1" x14ac:dyDescent="0.3">
      <c r="D772" s="305"/>
      <c r="E772" s="302"/>
      <c r="F772" s="302"/>
      <c r="G772" s="302"/>
      <c r="H772" s="302"/>
    </row>
    <row r="773" spans="4:30" ht="12.75" customHeight="1" x14ac:dyDescent="0.3">
      <c r="D773" s="305"/>
      <c r="E773" s="302"/>
      <c r="F773" s="302"/>
      <c r="G773" s="302"/>
      <c r="H773" s="302"/>
    </row>
    <row r="774" spans="4:30" ht="12.75" customHeight="1" x14ac:dyDescent="0.3">
      <c r="D774" s="305"/>
      <c r="E774" s="302"/>
      <c r="F774" s="302"/>
      <c r="G774" s="302"/>
      <c r="H774" s="302"/>
    </row>
    <row r="775" spans="4:30" ht="12.75" customHeight="1" x14ac:dyDescent="0.3">
      <c r="D775" s="305"/>
      <c r="E775" s="302"/>
      <c r="F775" s="302"/>
      <c r="G775" s="302"/>
      <c r="H775" s="302"/>
    </row>
    <row r="776" spans="4:30" ht="12.75" customHeight="1" x14ac:dyDescent="0.3">
      <c r="D776" s="305"/>
      <c r="E776" s="302"/>
      <c r="F776" s="302"/>
      <c r="G776" s="302"/>
      <c r="H776" s="302"/>
    </row>
    <row r="777" spans="4:30" ht="12.75" customHeight="1" x14ac:dyDescent="0.3">
      <c r="D777" s="305"/>
      <c r="E777" s="302"/>
      <c r="F777" s="302"/>
      <c r="G777" s="302"/>
      <c r="H777" s="302"/>
    </row>
    <row r="778" spans="4:30" ht="12.75" customHeight="1" x14ac:dyDescent="0.3">
      <c r="D778" s="305"/>
      <c r="E778" s="302"/>
      <c r="F778" s="302"/>
      <c r="G778" s="302"/>
      <c r="H778" s="302"/>
    </row>
    <row r="779" spans="4:30" ht="12.75" customHeight="1" x14ac:dyDescent="0.3">
      <c r="D779" s="305"/>
      <c r="E779" s="302"/>
      <c r="F779" s="302"/>
      <c r="G779" s="302"/>
      <c r="H779" s="302"/>
    </row>
    <row r="780" spans="4:30" ht="12.75" customHeight="1" x14ac:dyDescent="0.3">
      <c r="D780" s="305"/>
      <c r="E780" s="302"/>
      <c r="F780" s="302"/>
      <c r="G780" s="302"/>
      <c r="H780" s="302"/>
    </row>
    <row r="781" spans="4:30" ht="12.75" customHeight="1" x14ac:dyDescent="0.3">
      <c r="D781" s="305"/>
      <c r="F781" s="302"/>
      <c r="G781" s="302"/>
      <c r="H781" s="302"/>
    </row>
    <row r="782" spans="4:30" ht="12.75" customHeight="1" x14ac:dyDescent="0.3">
      <c r="D782" s="305"/>
      <c r="F782" s="302"/>
      <c r="G782" s="302"/>
      <c r="H782" s="302"/>
    </row>
    <row r="783" spans="4:30" ht="12.75" customHeight="1" x14ac:dyDescent="0.3"/>
    <row r="784" spans="4:30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</sheetData>
  <mergeCells count="278"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F20:I20"/>
    <mergeCell ref="K20:L20"/>
    <mergeCell ref="N20:O20"/>
    <mergeCell ref="P20:Q20"/>
    <mergeCell ref="T20:U20"/>
    <mergeCell ref="Y20:Z20"/>
    <mergeCell ref="T18:U18"/>
    <mergeCell ref="Y18:Z18"/>
    <mergeCell ref="F19:I19"/>
    <mergeCell ref="K19:L19"/>
    <mergeCell ref="N19:O19"/>
    <mergeCell ref="P19:Q19"/>
    <mergeCell ref="T19:U19"/>
    <mergeCell ref="Y19:Z19"/>
    <mergeCell ref="K21:L21"/>
    <mergeCell ref="N21:O21"/>
    <mergeCell ref="P21:Q21"/>
    <mergeCell ref="T21:U21"/>
    <mergeCell ref="F22:I22"/>
    <mergeCell ref="K22:L22"/>
    <mergeCell ref="N22:O22"/>
    <mergeCell ref="P22:Q22"/>
    <mergeCell ref="T22:U22"/>
    <mergeCell ref="B25:C25"/>
    <mergeCell ref="H25:I25"/>
    <mergeCell ref="K25:L25"/>
    <mergeCell ref="N25:O25"/>
    <mergeCell ref="P25:Q25"/>
    <mergeCell ref="T25:U25"/>
    <mergeCell ref="K23:L23"/>
    <mergeCell ref="N23:O23"/>
    <mergeCell ref="P23:Q23"/>
    <mergeCell ref="T23:U23"/>
    <mergeCell ref="F24:I24"/>
    <mergeCell ref="K24:L24"/>
    <mergeCell ref="N24:O24"/>
    <mergeCell ref="P24:Q24"/>
    <mergeCell ref="T24:U24"/>
    <mergeCell ref="B29:C29"/>
    <mergeCell ref="F29:I29"/>
    <mergeCell ref="K29:L29"/>
    <mergeCell ref="N29:O29"/>
    <mergeCell ref="P29:Q29"/>
    <mergeCell ref="T29:U29"/>
    <mergeCell ref="K26:L26"/>
    <mergeCell ref="N26:O26"/>
    <mergeCell ref="P26:Q26"/>
    <mergeCell ref="T26:U26"/>
    <mergeCell ref="F27:I27"/>
    <mergeCell ref="K27:L27"/>
    <mergeCell ref="N27:O27"/>
    <mergeCell ref="P27:Q27"/>
    <mergeCell ref="T27:U27"/>
    <mergeCell ref="F31:I31"/>
    <mergeCell ref="K31:L31"/>
    <mergeCell ref="N31:O31"/>
    <mergeCell ref="P31:Q31"/>
    <mergeCell ref="T31:U31"/>
    <mergeCell ref="K28:L28"/>
    <mergeCell ref="N28:O28"/>
    <mergeCell ref="P28:Q28"/>
    <mergeCell ref="T28:U28"/>
    <mergeCell ref="K32:L32"/>
    <mergeCell ref="N32:O32"/>
    <mergeCell ref="P32:Q32"/>
    <mergeCell ref="T32:U32"/>
    <mergeCell ref="K33:L33"/>
    <mergeCell ref="N33:O33"/>
    <mergeCell ref="P33:Q33"/>
    <mergeCell ref="T33:U33"/>
    <mergeCell ref="K30:L30"/>
    <mergeCell ref="N30:O30"/>
    <mergeCell ref="P30:Q30"/>
    <mergeCell ref="T30:U30"/>
    <mergeCell ref="K34:L34"/>
    <mergeCell ref="N34:O34"/>
    <mergeCell ref="P34:Q34"/>
    <mergeCell ref="T34:U34"/>
    <mergeCell ref="F35:I35"/>
    <mergeCell ref="K35:L35"/>
    <mergeCell ref="N35:O35"/>
    <mergeCell ref="P35:Q35"/>
    <mergeCell ref="T35:U35"/>
    <mergeCell ref="F36:I36"/>
    <mergeCell ref="K36:L36"/>
    <mergeCell ref="N36:O36"/>
    <mergeCell ref="P36:Q36"/>
    <mergeCell ref="T36:U36"/>
    <mergeCell ref="F37:I37"/>
    <mergeCell ref="K37:L37"/>
    <mergeCell ref="N37:O37"/>
    <mergeCell ref="P37:Q37"/>
    <mergeCell ref="T37:U37"/>
    <mergeCell ref="K40:L40"/>
    <mergeCell ref="N40:O40"/>
    <mergeCell ref="P40:Q40"/>
    <mergeCell ref="T40:U40"/>
    <mergeCell ref="K41:L41"/>
    <mergeCell ref="N41:O41"/>
    <mergeCell ref="P41:Q41"/>
    <mergeCell ref="T41:U41"/>
    <mergeCell ref="F38:I38"/>
    <mergeCell ref="K38:L38"/>
    <mergeCell ref="N38:O38"/>
    <mergeCell ref="P38:Q38"/>
    <mergeCell ref="T38:U38"/>
    <mergeCell ref="F39:G39"/>
    <mergeCell ref="K39:L39"/>
    <mergeCell ref="N39:O39"/>
    <mergeCell ref="P39:Q39"/>
    <mergeCell ref="T39:U39"/>
    <mergeCell ref="K44:L44"/>
    <mergeCell ref="N44:O44"/>
    <mergeCell ref="P44:Q44"/>
    <mergeCell ref="T44:U44"/>
    <mergeCell ref="K45:L45"/>
    <mergeCell ref="N45:O45"/>
    <mergeCell ref="P45:Q45"/>
    <mergeCell ref="T45:U45"/>
    <mergeCell ref="K42:L42"/>
    <mergeCell ref="N42:O42"/>
    <mergeCell ref="P42:Q42"/>
    <mergeCell ref="T42:U42"/>
    <mergeCell ref="K43:L43"/>
    <mergeCell ref="N43:O43"/>
    <mergeCell ref="P43:Q43"/>
    <mergeCell ref="T43:U43"/>
    <mergeCell ref="T46:U46"/>
    <mergeCell ref="B47:C48"/>
    <mergeCell ref="D47:F48"/>
    <mergeCell ref="G47:I48"/>
    <mergeCell ref="K47:L47"/>
    <mergeCell ref="N47:O47"/>
    <mergeCell ref="P47:Q47"/>
    <mergeCell ref="T47:U47"/>
    <mergeCell ref="K48:L48"/>
    <mergeCell ref="N48:O48"/>
    <mergeCell ref="B46:C46"/>
    <mergeCell ref="D46:F46"/>
    <mergeCell ref="G46:I46"/>
    <mergeCell ref="K46:L46"/>
    <mergeCell ref="N46:O46"/>
    <mergeCell ref="P46:Q46"/>
    <mergeCell ref="P48:Q48"/>
    <mergeCell ref="T48:U48"/>
    <mergeCell ref="B49:C50"/>
    <mergeCell ref="D49:F50"/>
    <mergeCell ref="G49:I50"/>
    <mergeCell ref="K49:L49"/>
    <mergeCell ref="N49:O49"/>
    <mergeCell ref="P49:Q49"/>
    <mergeCell ref="T49:U49"/>
    <mergeCell ref="K50:L50"/>
    <mergeCell ref="N50:O50"/>
    <mergeCell ref="P50:Q50"/>
    <mergeCell ref="T50:U50"/>
    <mergeCell ref="B51:C52"/>
    <mergeCell ref="D51:F52"/>
    <mergeCell ref="G51:I52"/>
    <mergeCell ref="K51:L51"/>
    <mergeCell ref="N51:O51"/>
    <mergeCell ref="P51:Q51"/>
    <mergeCell ref="T51:U51"/>
    <mergeCell ref="K52:L52"/>
    <mergeCell ref="N52:O52"/>
    <mergeCell ref="P52:Q52"/>
    <mergeCell ref="T52:U52"/>
    <mergeCell ref="B53:C54"/>
    <mergeCell ref="D53:F54"/>
    <mergeCell ref="G53:I54"/>
    <mergeCell ref="K53:L53"/>
    <mergeCell ref="N53:O53"/>
    <mergeCell ref="P53:Q53"/>
    <mergeCell ref="T53:U53"/>
    <mergeCell ref="K54:L54"/>
    <mergeCell ref="N54:O54"/>
    <mergeCell ref="P54:Q54"/>
    <mergeCell ref="T54:U54"/>
    <mergeCell ref="B55:C56"/>
    <mergeCell ref="D55:F56"/>
    <mergeCell ref="G55:I56"/>
    <mergeCell ref="K55:L55"/>
    <mergeCell ref="N55:O55"/>
    <mergeCell ref="B57:C58"/>
    <mergeCell ref="D57:F58"/>
    <mergeCell ref="G57:I58"/>
    <mergeCell ref="K57:L57"/>
    <mergeCell ref="N57:O57"/>
    <mergeCell ref="P57:Q57"/>
    <mergeCell ref="P55:Q55"/>
    <mergeCell ref="T55:U55"/>
    <mergeCell ref="K56:L56"/>
    <mergeCell ref="N56:O56"/>
    <mergeCell ref="P56:Q56"/>
    <mergeCell ref="T56:U56"/>
    <mergeCell ref="T57:U57"/>
    <mergeCell ref="K58:L58"/>
    <mergeCell ref="N58:O58"/>
    <mergeCell ref="P58:Q58"/>
    <mergeCell ref="T58:U58"/>
    <mergeCell ref="K59:L59"/>
    <mergeCell ref="N59:O59"/>
    <mergeCell ref="P59:Q59"/>
    <mergeCell ref="T59:U59"/>
    <mergeCell ref="D60:F60"/>
    <mergeCell ref="K60:L60"/>
    <mergeCell ref="N60:O60"/>
    <mergeCell ref="P60:Q60"/>
    <mergeCell ref="T60:U60"/>
    <mergeCell ref="K61:L61"/>
    <mergeCell ref="N61:O61"/>
    <mergeCell ref="P61:Q61"/>
    <mergeCell ref="T61:U61"/>
    <mergeCell ref="B70:D70"/>
    <mergeCell ref="K70:M70"/>
    <mergeCell ref="O70:Q70"/>
    <mergeCell ref="K62:L62"/>
    <mergeCell ref="N62:O62"/>
    <mergeCell ref="T62:U62"/>
    <mergeCell ref="K63:L63"/>
    <mergeCell ref="N63:O63"/>
    <mergeCell ref="T63:U63"/>
    <mergeCell ref="L71:M71"/>
    <mergeCell ref="O71:Q71"/>
    <mergeCell ref="K257:M257"/>
    <mergeCell ref="P257:Q257"/>
    <mergeCell ref="L258:M258"/>
    <mergeCell ref="K64:L64"/>
    <mergeCell ref="N64:O64"/>
    <mergeCell ref="P64:Q64"/>
    <mergeCell ref="K65:L65"/>
    <mergeCell ref="N65:O65"/>
  </mergeCells>
  <pageMargins left="0.7" right="0.7" top="0.75" bottom="0.75" header="0.3" footer="0.3"/>
  <pageSetup scale="73" orientation="portrait" horizontalDpi="0" verticalDpi="0" r:id="rId1"/>
  <colBreaks count="1" manualBreakCount="1">
    <brk id="9" max="7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05C6E-7038-4738-B094-73C383230541}">
  <dimension ref="A1:BA858"/>
  <sheetViews>
    <sheetView view="pageBreakPreview" topLeftCell="A26" zoomScale="60" zoomScaleNormal="90" workbookViewId="0">
      <selection activeCell="B75" sqref="B1:Q75"/>
    </sheetView>
  </sheetViews>
  <sheetFormatPr defaultColWidth="8.85546875" defaultRowHeight="16.5" x14ac:dyDescent="0.3"/>
  <cols>
    <col min="1" max="1" width="1" style="91" customWidth="1"/>
    <col min="2" max="2" width="12.5703125" style="91" customWidth="1"/>
    <col min="3" max="3" width="18.7109375" style="91" customWidth="1"/>
    <col min="4" max="4" width="17.85546875" style="91" customWidth="1"/>
    <col min="5" max="5" width="23.42578125" style="91" customWidth="1"/>
    <col min="6" max="6" width="15.140625" style="91" customWidth="1"/>
    <col min="7" max="7" width="8.140625" style="91" customWidth="1"/>
    <col min="8" max="8" width="4.42578125" style="91" customWidth="1"/>
    <col min="9" max="9" width="17.7109375" style="91" customWidth="1"/>
    <col min="10" max="10" width="2.28515625" style="91" customWidth="1"/>
    <col min="11" max="11" width="9.140625" style="91" customWidth="1"/>
    <col min="12" max="12" width="20.28515625" style="93" customWidth="1"/>
    <col min="13" max="13" width="18.28515625" style="91" customWidth="1"/>
    <col min="14" max="14" width="21.7109375" style="91" customWidth="1"/>
    <col min="15" max="15" width="12.28515625" style="91" customWidth="1"/>
    <col min="16" max="16" width="16.85546875" style="91" customWidth="1"/>
    <col min="17" max="17" width="21.42578125" style="91" customWidth="1"/>
    <col min="18" max="18" width="4.7109375" style="91" customWidth="1"/>
    <col min="19" max="19" width="8.85546875" style="91"/>
    <col min="20" max="20" width="19" style="91" hidden="1" customWidth="1"/>
    <col min="21" max="22" width="8.85546875" style="91" hidden="1" customWidth="1"/>
    <col min="23" max="24" width="11.42578125" style="91" hidden="1" customWidth="1"/>
    <col min="25" max="26" width="0" style="91" hidden="1" customWidth="1"/>
    <col min="27" max="27" width="11.28515625" style="91" hidden="1" customWidth="1"/>
    <col min="28" max="28" width="8.85546875" style="91"/>
    <col min="29" max="29" width="13.140625" style="91" customWidth="1"/>
    <col min="30" max="30" width="14.5703125" style="91" customWidth="1"/>
    <col min="31" max="31" width="8.85546875" style="91"/>
    <col min="32" max="32" width="9.140625" style="91" bestFit="1" customWidth="1"/>
    <col min="33" max="33" width="17.140625" style="91" customWidth="1"/>
    <col min="34" max="34" width="17.85546875" style="91" customWidth="1"/>
    <col min="35" max="35" width="9.7109375" style="91" customWidth="1"/>
    <col min="36" max="36" width="10.7109375" style="234" customWidth="1"/>
    <col min="37" max="37" width="13.42578125" style="91" customWidth="1"/>
    <col min="38" max="38" width="12.7109375" style="91" customWidth="1"/>
    <col min="39" max="39" width="13.140625" style="91" customWidth="1"/>
    <col min="40" max="41" width="13.28515625" style="91" customWidth="1"/>
    <col min="42" max="42" width="11.28515625" style="91" customWidth="1"/>
    <col min="43" max="43" width="14.85546875" style="91" customWidth="1"/>
    <col min="44" max="44" width="5.85546875" style="91" customWidth="1"/>
    <col min="45" max="45" width="11.7109375" style="91" customWidth="1"/>
    <col min="46" max="46" width="12.7109375" style="91" customWidth="1"/>
    <col min="47" max="47" width="11.7109375" style="91" customWidth="1"/>
    <col min="48" max="48" width="12.7109375" style="91" customWidth="1"/>
    <col min="49" max="49" width="12.7109375" style="235" customWidth="1"/>
    <col min="50" max="50" width="14.5703125" style="236" customWidth="1"/>
    <col min="51" max="55" width="12.7109375" style="91" customWidth="1"/>
    <col min="56" max="16384" width="8.85546875" style="91"/>
  </cols>
  <sheetData>
    <row r="1" spans="1:17" ht="4.5" customHeight="1" x14ac:dyDescent="0.3">
      <c r="B1" s="227"/>
      <c r="C1" s="228">
        <f>(F15-(F16+F25))*12%</f>
        <v>1337551.2</v>
      </c>
      <c r="D1" s="229">
        <f>[3]FORM!A14</f>
        <v>107</v>
      </c>
      <c r="E1" s="230"/>
      <c r="F1" s="102"/>
      <c r="G1" s="231"/>
      <c r="H1" s="231"/>
      <c r="J1" s="232">
        <v>0.01</v>
      </c>
      <c r="K1" s="230"/>
      <c r="L1" s="233"/>
      <c r="M1" s="233"/>
      <c r="N1" s="171"/>
    </row>
    <row r="2" spans="1:17" x14ac:dyDescent="0.3">
      <c r="B2" s="237" t="s">
        <v>94</v>
      </c>
      <c r="C2" s="104">
        <f ca="1">NOW()</f>
        <v>45932.593793518521</v>
      </c>
      <c r="D2" s="169"/>
      <c r="F2" s="98" t="s">
        <v>95</v>
      </c>
      <c r="G2" s="357" t="s">
        <v>96</v>
      </c>
      <c r="H2" s="357"/>
      <c r="I2" s="357"/>
      <c r="J2" s="85"/>
      <c r="K2" s="238" t="s">
        <v>94</v>
      </c>
      <c r="L2" s="104">
        <f ca="1">C2</f>
        <v>45932.593793518521</v>
      </c>
      <c r="M2" s="76"/>
      <c r="O2" s="82"/>
      <c r="P2" s="237" t="s">
        <v>97</v>
      </c>
      <c r="Q2" s="239" t="s">
        <v>98</v>
      </c>
    </row>
    <row r="3" spans="1:17" x14ac:dyDescent="0.3">
      <c r="C3" s="102"/>
      <c r="D3" s="102"/>
      <c r="E3" s="85"/>
      <c r="F3" s="85"/>
      <c r="G3" s="85"/>
      <c r="H3" s="85"/>
      <c r="I3" s="85"/>
      <c r="J3" s="85"/>
      <c r="K3" s="240"/>
      <c r="L3" s="241"/>
      <c r="M3" s="242"/>
      <c r="N3" s="139"/>
      <c r="O3" s="139"/>
      <c r="P3" s="139"/>
      <c r="Q3" s="139"/>
    </row>
    <row r="4" spans="1:17" ht="18.75" customHeight="1" x14ac:dyDescent="0.3">
      <c r="A4" s="76"/>
      <c r="B4" s="358" t="s">
        <v>99</v>
      </c>
      <c r="C4" s="358"/>
      <c r="D4" s="358"/>
      <c r="E4" s="358"/>
      <c r="F4" s="358"/>
      <c r="G4" s="358"/>
      <c r="H4" s="358"/>
      <c r="I4" s="359"/>
      <c r="J4" s="85"/>
      <c r="K4" s="360" t="s">
        <v>100</v>
      </c>
      <c r="L4" s="360"/>
      <c r="M4" s="360"/>
      <c r="N4" s="360"/>
      <c r="O4" s="360"/>
      <c r="P4" s="360"/>
      <c r="Q4" s="360"/>
    </row>
    <row r="5" spans="1:17" ht="12" customHeight="1" x14ac:dyDescent="0.3">
      <c r="A5" s="76"/>
      <c r="B5" s="76"/>
      <c r="C5" s="79"/>
      <c r="D5" s="79"/>
      <c r="E5" s="76"/>
      <c r="F5" s="79"/>
      <c r="G5" s="79"/>
      <c r="H5" s="79"/>
      <c r="I5" s="243"/>
      <c r="J5" s="85"/>
      <c r="K5" s="85"/>
      <c r="L5" s="85"/>
      <c r="M5" s="244"/>
      <c r="N5" s="76"/>
      <c r="O5" s="76"/>
      <c r="P5" s="76"/>
      <c r="Q5" s="76"/>
    </row>
    <row r="6" spans="1:17" x14ac:dyDescent="0.3">
      <c r="A6" s="76"/>
      <c r="B6" s="119" t="s">
        <v>101</v>
      </c>
      <c r="C6" s="71"/>
      <c r="D6" s="88" t="s">
        <v>102</v>
      </c>
      <c r="E6" s="361"/>
      <c r="F6" s="362"/>
      <c r="G6" s="362"/>
      <c r="H6" s="362"/>
      <c r="I6" s="363"/>
      <c r="J6" s="85"/>
      <c r="K6" s="364" t="s">
        <v>101</v>
      </c>
      <c r="L6" s="364"/>
      <c r="M6" s="88" t="s">
        <v>102</v>
      </c>
      <c r="N6" s="365">
        <f t="shared" ref="N6:N12" si="0">E6</f>
        <v>0</v>
      </c>
      <c r="O6" s="365"/>
      <c r="P6" s="365"/>
      <c r="Q6" s="365"/>
    </row>
    <row r="7" spans="1:17" ht="17.25" thickBot="1" x14ac:dyDescent="0.35">
      <c r="A7" s="76"/>
      <c r="B7" s="126" t="s">
        <v>103</v>
      </c>
      <c r="C7" s="125"/>
      <c r="D7" s="88" t="s">
        <v>102</v>
      </c>
      <c r="E7" s="361" t="str">
        <f>Pricelink!E18</f>
        <v>Terraces Commonwealth Townhouse</v>
      </c>
      <c r="F7" s="362"/>
      <c r="G7" s="362"/>
      <c r="H7" s="362"/>
      <c r="I7" s="363"/>
      <c r="J7" s="85"/>
      <c r="K7" s="364" t="s">
        <v>103</v>
      </c>
      <c r="L7" s="364"/>
      <c r="M7" s="245" t="s">
        <v>102</v>
      </c>
      <c r="N7" s="365" t="str">
        <f t="shared" si="0"/>
        <v>Terraces Commonwealth Townhouse</v>
      </c>
      <c r="O7" s="365"/>
      <c r="P7" s="365"/>
      <c r="Q7" s="365"/>
    </row>
    <row r="8" spans="1:17" x14ac:dyDescent="0.3">
      <c r="A8" s="83"/>
      <c r="B8" s="119" t="s">
        <v>18</v>
      </c>
      <c r="C8" s="71"/>
      <c r="D8" s="88" t="s">
        <v>102</v>
      </c>
      <c r="E8" s="361" t="str">
        <f>Pricelink!C29</f>
        <v>Unit D</v>
      </c>
      <c r="F8" s="362"/>
      <c r="G8" s="362"/>
      <c r="H8" s="362"/>
      <c r="I8" s="363"/>
      <c r="J8" s="85"/>
      <c r="K8" s="364" t="s">
        <v>104</v>
      </c>
      <c r="L8" s="364"/>
      <c r="M8" s="88" t="s">
        <v>102</v>
      </c>
      <c r="N8" s="365" t="str">
        <f t="shared" si="0"/>
        <v>Unit D</v>
      </c>
      <c r="O8" s="365"/>
      <c r="P8" s="365"/>
      <c r="Q8" s="365"/>
    </row>
    <row r="9" spans="1:17" hidden="1" x14ac:dyDescent="0.3">
      <c r="A9" s="76"/>
      <c r="B9" s="126"/>
      <c r="C9" s="125"/>
      <c r="D9" s="88"/>
      <c r="E9" s="361"/>
      <c r="F9" s="362"/>
      <c r="G9" s="362"/>
      <c r="H9" s="362"/>
      <c r="I9" s="363"/>
      <c r="J9" s="85"/>
      <c r="K9" s="364"/>
      <c r="L9" s="364"/>
      <c r="M9" s="88"/>
      <c r="N9" s="365"/>
      <c r="O9" s="365"/>
      <c r="P9" s="365"/>
      <c r="Q9" s="365"/>
    </row>
    <row r="10" spans="1:17" ht="17.25" thickBot="1" x14ac:dyDescent="0.35">
      <c r="A10" s="76"/>
      <c r="B10" s="126" t="s">
        <v>105</v>
      </c>
      <c r="C10" s="125"/>
      <c r="D10" s="88" t="s">
        <v>102</v>
      </c>
      <c r="E10" s="361" t="str">
        <f>Pricelink!E29</f>
        <v>Middle</v>
      </c>
      <c r="F10" s="362"/>
      <c r="G10" s="362"/>
      <c r="H10" s="362"/>
      <c r="I10" s="363"/>
      <c r="J10" s="85"/>
      <c r="K10" s="364" t="s">
        <v>105</v>
      </c>
      <c r="L10" s="364"/>
      <c r="M10" s="245" t="s">
        <v>102</v>
      </c>
      <c r="N10" s="365" t="str">
        <f t="shared" si="0"/>
        <v>Middle</v>
      </c>
      <c r="O10" s="365"/>
      <c r="P10" s="365"/>
      <c r="Q10" s="365"/>
    </row>
    <row r="11" spans="1:17" x14ac:dyDescent="0.3">
      <c r="A11" s="76"/>
      <c r="B11" s="126" t="s">
        <v>106</v>
      </c>
      <c r="C11" s="125"/>
      <c r="D11" s="88" t="s">
        <v>102</v>
      </c>
      <c r="E11" s="366">
        <f>Pricelink!F29</f>
        <v>52</v>
      </c>
      <c r="F11" s="367"/>
      <c r="G11" s="189" t="s">
        <v>107</v>
      </c>
      <c r="H11" s="362"/>
      <c r="I11" s="363"/>
      <c r="J11" s="85"/>
      <c r="K11" s="364" t="s">
        <v>108</v>
      </c>
      <c r="L11" s="364"/>
      <c r="M11" s="88" t="s">
        <v>102</v>
      </c>
      <c r="N11" s="368">
        <f t="shared" si="0"/>
        <v>52</v>
      </c>
      <c r="O11" s="369"/>
      <c r="P11" s="370" t="s">
        <v>107</v>
      </c>
      <c r="Q11" s="371"/>
    </row>
    <row r="12" spans="1:17" x14ac:dyDescent="0.3">
      <c r="A12" s="83"/>
      <c r="B12" s="120" t="s">
        <v>92</v>
      </c>
      <c r="C12" s="71"/>
      <c r="D12" s="88" t="s">
        <v>102</v>
      </c>
      <c r="E12" s="366">
        <f>Pricelink!G29</f>
        <v>197</v>
      </c>
      <c r="F12" s="367"/>
      <c r="G12" s="189" t="s">
        <v>107</v>
      </c>
      <c r="H12" s="370"/>
      <c r="I12" s="371"/>
      <c r="J12" s="85"/>
      <c r="K12" s="364" t="s">
        <v>109</v>
      </c>
      <c r="L12" s="364"/>
      <c r="M12" s="88" t="s">
        <v>102</v>
      </c>
      <c r="N12" s="372">
        <f t="shared" si="0"/>
        <v>197</v>
      </c>
      <c r="O12" s="373"/>
      <c r="P12" s="370" t="s">
        <v>107</v>
      </c>
      <c r="Q12" s="371"/>
    </row>
    <row r="13" spans="1:17" x14ac:dyDescent="0.3">
      <c r="A13" s="246"/>
      <c r="B13" s="247"/>
      <c r="C13" s="248"/>
      <c r="D13" s="88"/>
      <c r="E13" s="382"/>
      <c r="F13" s="383"/>
      <c r="G13" s="189"/>
      <c r="H13" s="370"/>
      <c r="I13" s="371"/>
      <c r="J13" s="85"/>
      <c r="K13" s="384"/>
      <c r="L13" s="384"/>
      <c r="M13" s="88"/>
      <c r="N13" s="372"/>
      <c r="O13" s="373"/>
      <c r="P13" s="370"/>
      <c r="Q13" s="371"/>
    </row>
    <row r="14" spans="1:17" x14ac:dyDescent="0.3">
      <c r="A14" s="76"/>
      <c r="B14" s="76"/>
      <c r="C14" s="249"/>
      <c r="D14" s="88"/>
      <c r="E14" s="85"/>
      <c r="F14" s="250"/>
      <c r="G14" s="250"/>
      <c r="H14" s="251"/>
      <c r="I14" s="252"/>
      <c r="J14" s="85"/>
      <c r="K14" s="76"/>
      <c r="L14" s="76"/>
      <c r="M14" s="78"/>
      <c r="N14" s="76"/>
      <c r="O14" s="76"/>
      <c r="P14" s="76"/>
      <c r="Q14" s="76"/>
    </row>
    <row r="15" spans="1:17" ht="15" customHeight="1" x14ac:dyDescent="0.3">
      <c r="A15" s="76"/>
      <c r="B15" s="143" t="s">
        <v>110</v>
      </c>
      <c r="C15" s="143"/>
      <c r="D15" s="253" t="s">
        <v>102</v>
      </c>
      <c r="E15" s="254"/>
      <c r="F15" s="385">
        <f>SUM(Pricelink!H29)</f>
        <v>11146260</v>
      </c>
      <c r="G15" s="385"/>
      <c r="H15" s="385"/>
      <c r="I15" s="386"/>
      <c r="J15" s="85"/>
      <c r="K15" s="387" t="s">
        <v>111</v>
      </c>
      <c r="L15" s="387"/>
      <c r="M15" s="388" t="s">
        <v>112</v>
      </c>
      <c r="N15" s="387" t="s">
        <v>113</v>
      </c>
      <c r="O15" s="387"/>
      <c r="P15" s="389" t="s">
        <v>114</v>
      </c>
      <c r="Q15" s="390"/>
    </row>
    <row r="16" spans="1:17" x14ac:dyDescent="0.3">
      <c r="A16" s="76"/>
      <c r="B16" s="72" t="s">
        <v>115</v>
      </c>
      <c r="C16" s="125"/>
      <c r="D16" s="255" t="s">
        <v>102</v>
      </c>
      <c r="E16" s="256"/>
      <c r="F16" s="374"/>
      <c r="G16" s="374"/>
      <c r="H16" s="374"/>
      <c r="I16" s="375"/>
      <c r="J16" s="79"/>
      <c r="K16" s="387"/>
      <c r="L16" s="387"/>
      <c r="M16" s="388"/>
      <c r="N16" s="387"/>
      <c r="O16" s="387"/>
      <c r="P16" s="391"/>
      <c r="Q16" s="392"/>
    </row>
    <row r="17" spans="1:50" x14ac:dyDescent="0.3">
      <c r="A17" s="76"/>
      <c r="B17" s="148" t="s">
        <v>70</v>
      </c>
      <c r="C17" s="73"/>
      <c r="D17" s="85" t="s">
        <v>102</v>
      </c>
      <c r="E17" s="254"/>
      <c r="F17" s="376">
        <f>F15-F16</f>
        <v>11146260</v>
      </c>
      <c r="G17" s="376"/>
      <c r="H17" s="376"/>
      <c r="I17" s="377"/>
      <c r="J17" s="79"/>
      <c r="K17" s="378" t="s">
        <v>33</v>
      </c>
      <c r="L17" s="378"/>
      <c r="M17" s="257">
        <f ca="1">C2</f>
        <v>45932.593793518521</v>
      </c>
      <c r="N17" s="379">
        <f>F26</f>
        <v>50000</v>
      </c>
      <c r="O17" s="379"/>
      <c r="P17" s="380"/>
      <c r="Q17" s="381"/>
      <c r="W17" s="258">
        <f ca="1">M17</f>
        <v>45932.593793518521</v>
      </c>
      <c r="X17" s="258">
        <f ca="1">EDATE(W17,E29)</f>
        <v>46114</v>
      </c>
    </row>
    <row r="18" spans="1:50" x14ac:dyDescent="0.3">
      <c r="A18" s="76"/>
      <c r="B18" s="150"/>
      <c r="C18" s="249"/>
      <c r="D18" s="88"/>
      <c r="E18" s="79"/>
      <c r="F18" s="259"/>
      <c r="G18" s="260"/>
      <c r="H18" s="261"/>
      <c r="I18" s="261"/>
      <c r="J18" s="79"/>
      <c r="K18" s="378" t="str">
        <f t="shared" ref="K18:K63" si="1">IF(N18&gt;1,T18,0)</f>
        <v>1st EQUITY PAYMENT</v>
      </c>
      <c r="L18" s="378"/>
      <c r="M18" s="257">
        <f t="shared" ref="M18:M63" ca="1" si="2">IF(N18&gt;1,W18,"")</f>
        <v>45966</v>
      </c>
      <c r="N18" s="379">
        <f>IF(E29&gt;0,F29,"")</f>
        <v>400362.8666666667</v>
      </c>
      <c r="O18" s="379"/>
      <c r="P18" s="380"/>
      <c r="Q18" s="381"/>
      <c r="T18" s="396" t="s">
        <v>116</v>
      </c>
      <c r="U18" s="396"/>
      <c r="W18" s="257">
        <f ca="1">IF(DAY(W17)=31,Y20,AA20)</f>
        <v>45966</v>
      </c>
      <c r="Y18" s="399" t="s">
        <v>117</v>
      </c>
      <c r="Z18" s="399"/>
    </row>
    <row r="19" spans="1:50" hidden="1" x14ac:dyDescent="0.3">
      <c r="A19" s="83"/>
      <c r="B19" s="72" t="s">
        <v>118</v>
      </c>
      <c r="C19" s="125"/>
      <c r="D19" s="255" t="s">
        <v>102</v>
      </c>
      <c r="E19" s="262">
        <v>0</v>
      </c>
      <c r="F19" s="374">
        <f>E19*F17</f>
        <v>0</v>
      </c>
      <c r="G19" s="374"/>
      <c r="H19" s="374"/>
      <c r="I19" s="375"/>
      <c r="J19" s="79"/>
      <c r="K19" s="378" t="str">
        <f t="shared" si="1"/>
        <v>2nd EQUITY PAYMENT</v>
      </c>
      <c r="L19" s="378"/>
      <c r="M19" s="257">
        <f t="shared" ca="1" si="2"/>
        <v>45996</v>
      </c>
      <c r="N19" s="379">
        <f>IF(E29&gt;1,F29,0)</f>
        <v>400362.8666666667</v>
      </c>
      <c r="O19" s="379"/>
      <c r="P19" s="380"/>
      <c r="Q19" s="381"/>
      <c r="T19" s="396" t="s">
        <v>119</v>
      </c>
      <c r="U19" s="396"/>
      <c r="W19" s="257">
        <f t="shared" ref="W19:W61" ca="1" si="3">IF(AND(DAY(W18)&gt;=6,DAY(W18)&lt;=20),DATE(YEAR(W18),MONTH(W18)+1,DAY(20)),IF(AND(DAY(W18)&gt;=21,DAY(W18)&lt;=30),DATE(YEAR(W18),MONTH(W18)+1,IF(DAY(EOMONTH(W18,1))&lt;30,DAY(EOMONTH(W18,1)),DAY(30))),DATE(YEAR(W18),MONTH(W18)+1,DAY(5))))</f>
        <v>45996</v>
      </c>
      <c r="X19" s="263" t="s">
        <v>120</v>
      </c>
      <c r="Y19" s="397" t="b">
        <f ca="1">IF(DAY(W17)=31,DATE(YEAR(X17),MONTH(X17)+2,DAY(5)))</f>
        <v>0</v>
      </c>
      <c r="Z19" s="398"/>
      <c r="AA19" s="264">
        <f ca="1">IF(AND(DAY(X17)&gt;=6,DAY(X17)&lt;=20),DATE(YEAR(X17),MONTH(X17)+1,DAY(20)),IF(AND(DAY(X17)&gt;=21,DAY(X17)&lt;=31),DATE(YEAR(X17),MONTH(X17)+1,IF(DAY(EOMONTH(X17,1))&lt;30,DAY(EOMONTH(X17,1)),DAY(30))),DATE(YEAR(X17),MONTH(X17)+1,DAY(5))))</f>
        <v>46147</v>
      </c>
    </row>
    <row r="20" spans="1:50" x14ac:dyDescent="0.3">
      <c r="A20" s="246"/>
      <c r="B20" s="180" t="s">
        <v>121</v>
      </c>
      <c r="C20" s="73"/>
      <c r="D20" s="88" t="s">
        <v>102</v>
      </c>
      <c r="E20" s="155">
        <v>0.1</v>
      </c>
      <c r="F20" s="393">
        <f>E20*F15</f>
        <v>1114626</v>
      </c>
      <c r="G20" s="394"/>
      <c r="H20" s="394"/>
      <c r="I20" s="395"/>
      <c r="J20" s="79"/>
      <c r="K20" s="378" t="str">
        <f t="shared" si="1"/>
        <v>3rd EQUITY PAYMENT</v>
      </c>
      <c r="L20" s="378"/>
      <c r="M20" s="257">
        <f t="shared" ca="1" si="2"/>
        <v>46027</v>
      </c>
      <c r="N20" s="379">
        <f>IF(E29&gt;2,F29,0)</f>
        <v>400362.8666666667</v>
      </c>
      <c r="O20" s="379"/>
      <c r="P20" s="380"/>
      <c r="Q20" s="381"/>
      <c r="T20" s="396" t="s">
        <v>122</v>
      </c>
      <c r="U20" s="396"/>
      <c r="W20" s="257">
        <f t="shared" ca="1" si="3"/>
        <v>46027</v>
      </c>
      <c r="X20" s="263" t="s">
        <v>123</v>
      </c>
      <c r="Y20" s="397" t="b">
        <f ca="1">IF(DAY(W17)=31,DATE(YEAR(W17),MONTH(W17)+2,DAY(5)))</f>
        <v>0</v>
      </c>
      <c r="Z20" s="398"/>
      <c r="AA20" s="264">
        <f ca="1">IF(AND(DAY(W17)&gt;=6,DAY(W17)&lt;=20),DATE(YEAR(W17),MONTH(W17)+1,DAY(20)),IF(AND(DAY(W17)&gt;=21,DAY(W17)&lt;=30),DATE(YEAR(W17),MONTH(W17)+1,IF(DAY(EOMONTH(W17,1))&lt;31,DAY(EOMONTH(W17,1)),DAY(30))),DATE(YEAR(W17),MONTH(W17)+1,DAY(5))))</f>
        <v>45966</v>
      </c>
      <c r="AX20" s="91"/>
    </row>
    <row r="21" spans="1:50" x14ac:dyDescent="0.3">
      <c r="A21" s="76"/>
      <c r="B21" s="150"/>
      <c r="C21" s="79"/>
      <c r="D21" s="88"/>
      <c r="E21" s="85"/>
      <c r="F21" s="265"/>
      <c r="G21" s="259"/>
      <c r="H21" s="259"/>
      <c r="I21" s="259"/>
      <c r="J21" s="79"/>
      <c r="K21" s="378" t="str">
        <f t="shared" si="1"/>
        <v>4th EQUITY PAYMENT</v>
      </c>
      <c r="L21" s="378"/>
      <c r="M21" s="257">
        <f t="shared" ca="1" si="2"/>
        <v>46058</v>
      </c>
      <c r="N21" s="379">
        <f>IF(E29&gt;3,F29,0)</f>
        <v>400362.8666666667</v>
      </c>
      <c r="O21" s="379"/>
      <c r="P21" s="380"/>
      <c r="Q21" s="381"/>
      <c r="T21" s="396" t="s">
        <v>124</v>
      </c>
      <c r="U21" s="396"/>
      <c r="W21" s="257">
        <f t="shared" ca="1" si="3"/>
        <v>46058</v>
      </c>
      <c r="AX21" s="91"/>
    </row>
    <row r="22" spans="1:50" x14ac:dyDescent="0.3">
      <c r="A22" s="76"/>
      <c r="B22" s="148" t="s">
        <v>32</v>
      </c>
      <c r="C22" s="73"/>
      <c r="D22" s="85" t="s">
        <v>102</v>
      </c>
      <c r="E22" s="266"/>
      <c r="F22" s="400">
        <f>F17+F19+F20</f>
        <v>12260886</v>
      </c>
      <c r="G22" s="401"/>
      <c r="H22" s="401"/>
      <c r="I22" s="402"/>
      <c r="J22" s="79"/>
      <c r="K22" s="378" t="str">
        <f t="shared" si="1"/>
        <v>5th EQUITY PAYMENT</v>
      </c>
      <c r="L22" s="378"/>
      <c r="M22" s="257">
        <f t="shared" ca="1" si="2"/>
        <v>46086</v>
      </c>
      <c r="N22" s="379">
        <f>IF(E29&gt;4,F29,0)</f>
        <v>400362.8666666667</v>
      </c>
      <c r="O22" s="379"/>
      <c r="P22" s="380"/>
      <c r="Q22" s="381"/>
      <c r="T22" s="396" t="s">
        <v>125</v>
      </c>
      <c r="U22" s="396"/>
      <c r="W22" s="257">
        <f t="shared" ca="1" si="3"/>
        <v>46086</v>
      </c>
      <c r="AX22" s="91"/>
    </row>
    <row r="23" spans="1:50" x14ac:dyDescent="0.3">
      <c r="A23" s="76"/>
      <c r="B23" s="150"/>
      <c r="C23" s="79"/>
      <c r="D23" s="88"/>
      <c r="E23" s="85"/>
      <c r="F23" s="259"/>
      <c r="G23" s="267"/>
      <c r="H23" s="267"/>
      <c r="I23" s="267"/>
      <c r="J23" s="79"/>
      <c r="K23" s="378" t="str">
        <f t="shared" si="1"/>
        <v>6th EQUITY PAYMENT</v>
      </c>
      <c r="L23" s="378"/>
      <c r="M23" s="257">
        <f t="shared" ca="1" si="2"/>
        <v>46117</v>
      </c>
      <c r="N23" s="379">
        <f>IF(E29&gt;5,F29,0)</f>
        <v>400362.8666666667</v>
      </c>
      <c r="O23" s="379"/>
      <c r="P23" s="380"/>
      <c r="Q23" s="381"/>
      <c r="T23" s="396" t="s">
        <v>126</v>
      </c>
      <c r="U23" s="396"/>
      <c r="W23" s="257">
        <f t="shared" ca="1" si="3"/>
        <v>46117</v>
      </c>
      <c r="AX23" s="91"/>
    </row>
    <row r="24" spans="1:50" x14ac:dyDescent="0.3">
      <c r="A24" s="76"/>
      <c r="B24" s="143" t="s">
        <v>127</v>
      </c>
      <c r="C24" s="71"/>
      <c r="D24" s="253" t="s">
        <v>102</v>
      </c>
      <c r="E24" s="268">
        <f>IF([3]FORM!I26="",[3]FORM!I24,[3]FORM!I26)</f>
        <v>0.2</v>
      </c>
      <c r="F24" s="400">
        <f>F22*E24</f>
        <v>2452177.2000000002</v>
      </c>
      <c r="G24" s="401"/>
      <c r="H24" s="401"/>
      <c r="I24" s="402"/>
      <c r="J24" s="79"/>
      <c r="K24" s="378">
        <f t="shared" si="1"/>
        <v>0</v>
      </c>
      <c r="L24" s="378"/>
      <c r="M24" s="257" t="str">
        <f t="shared" si="2"/>
        <v/>
      </c>
      <c r="N24" s="379">
        <f>IF(E29&gt;6,F29,0)</f>
        <v>0</v>
      </c>
      <c r="O24" s="379"/>
      <c r="P24" s="380"/>
      <c r="Q24" s="381"/>
      <c r="T24" s="396" t="s">
        <v>128</v>
      </c>
      <c r="U24" s="396"/>
      <c r="W24" s="257">
        <f t="shared" ca="1" si="3"/>
        <v>46147</v>
      </c>
      <c r="AX24" s="91"/>
    </row>
    <row r="25" spans="1:50" x14ac:dyDescent="0.3">
      <c r="A25" s="76"/>
      <c r="B25" s="403" t="s">
        <v>129</v>
      </c>
      <c r="C25" s="403"/>
      <c r="D25" s="255" t="str">
        <f>D24</f>
        <v>:</v>
      </c>
      <c r="E25" s="269"/>
      <c r="F25" s="270">
        <v>0</v>
      </c>
      <c r="G25" s="270"/>
      <c r="H25" s="404"/>
      <c r="I25" s="405"/>
      <c r="J25" s="79"/>
      <c r="K25" s="378">
        <f t="shared" si="1"/>
        <v>0</v>
      </c>
      <c r="L25" s="378"/>
      <c r="M25" s="257" t="str">
        <f t="shared" si="2"/>
        <v/>
      </c>
      <c r="N25" s="379">
        <f>IF(E29&gt;7,F29,0)</f>
        <v>0</v>
      </c>
      <c r="O25" s="379"/>
      <c r="P25" s="380"/>
      <c r="Q25" s="381"/>
      <c r="T25" s="396" t="s">
        <v>130</v>
      </c>
      <c r="U25" s="396"/>
      <c r="W25" s="257">
        <f t="shared" ca="1" si="3"/>
        <v>46178</v>
      </c>
      <c r="AX25" s="91"/>
    </row>
    <row r="26" spans="1:50" x14ac:dyDescent="0.3">
      <c r="A26" s="83"/>
      <c r="B26" s="126" t="s">
        <v>131</v>
      </c>
      <c r="C26" s="125"/>
      <c r="D26" s="88" t="s">
        <v>102</v>
      </c>
      <c r="E26" s="271"/>
      <c r="F26" s="272">
        <v>50000</v>
      </c>
      <c r="G26" s="273"/>
      <c r="H26" s="274"/>
      <c r="I26" s="275"/>
      <c r="J26" s="79"/>
      <c r="K26" s="378">
        <f t="shared" si="1"/>
        <v>0</v>
      </c>
      <c r="L26" s="378"/>
      <c r="M26" s="257" t="str">
        <f t="shared" si="2"/>
        <v/>
      </c>
      <c r="N26" s="379">
        <f>IF(E29&gt;8,F29,0)</f>
        <v>0</v>
      </c>
      <c r="O26" s="379"/>
      <c r="P26" s="380"/>
      <c r="Q26" s="381"/>
      <c r="T26" s="396" t="s">
        <v>132</v>
      </c>
      <c r="U26" s="396"/>
      <c r="W26" s="257">
        <f t="shared" ca="1" si="3"/>
        <v>46208</v>
      </c>
      <c r="AX26" s="91"/>
    </row>
    <row r="27" spans="1:50" x14ac:dyDescent="0.3">
      <c r="A27" s="76"/>
      <c r="B27" s="148" t="s">
        <v>133</v>
      </c>
      <c r="C27" s="200"/>
      <c r="D27" s="85" t="s">
        <v>102</v>
      </c>
      <c r="E27" s="271"/>
      <c r="F27" s="400">
        <f>F24-F25-F26</f>
        <v>2402177.2000000002</v>
      </c>
      <c r="G27" s="401"/>
      <c r="H27" s="401"/>
      <c r="I27" s="402"/>
      <c r="J27" s="79"/>
      <c r="K27" s="378">
        <f t="shared" si="1"/>
        <v>0</v>
      </c>
      <c r="L27" s="378"/>
      <c r="M27" s="257" t="str">
        <f t="shared" si="2"/>
        <v/>
      </c>
      <c r="N27" s="379">
        <f>IF(E29&gt;9,F29,0)</f>
        <v>0</v>
      </c>
      <c r="O27" s="379"/>
      <c r="P27" s="380"/>
      <c r="Q27" s="381"/>
      <c r="T27" s="396" t="s">
        <v>134</v>
      </c>
      <c r="U27" s="396"/>
      <c r="W27" s="257">
        <f t="shared" ca="1" si="3"/>
        <v>46239</v>
      </c>
      <c r="AX27" s="91"/>
    </row>
    <row r="28" spans="1:50" x14ac:dyDescent="0.3">
      <c r="A28" s="76"/>
      <c r="B28" s="150"/>
      <c r="C28" s="79"/>
      <c r="D28" s="88"/>
      <c r="E28" s="85"/>
      <c r="F28" s="259"/>
      <c r="G28" s="267"/>
      <c r="H28" s="267"/>
      <c r="I28" s="267"/>
      <c r="J28" s="79"/>
      <c r="K28" s="378">
        <f t="shared" si="1"/>
        <v>0</v>
      </c>
      <c r="L28" s="378"/>
      <c r="M28" s="257" t="str">
        <f t="shared" si="2"/>
        <v/>
      </c>
      <c r="N28" s="379">
        <f>IF(E29&gt;10,F29,0)</f>
        <v>0</v>
      </c>
      <c r="O28" s="379"/>
      <c r="P28" s="380"/>
      <c r="Q28" s="381"/>
      <c r="T28" s="396" t="s">
        <v>135</v>
      </c>
      <c r="U28" s="396"/>
      <c r="W28" s="257">
        <f t="shared" ca="1" si="3"/>
        <v>46270</v>
      </c>
      <c r="AX28" s="91"/>
    </row>
    <row r="29" spans="1:50" x14ac:dyDescent="0.3">
      <c r="A29" s="276"/>
      <c r="B29" s="406" t="s">
        <v>136</v>
      </c>
      <c r="C29" s="406"/>
      <c r="D29" s="85" t="s">
        <v>102</v>
      </c>
      <c r="E29" s="277">
        <f>Pricelink!N29</f>
        <v>6</v>
      </c>
      <c r="F29" s="400">
        <f>F27/E29</f>
        <v>400362.8666666667</v>
      </c>
      <c r="G29" s="401"/>
      <c r="H29" s="401"/>
      <c r="I29" s="402"/>
      <c r="J29" s="79"/>
      <c r="K29" s="378">
        <f t="shared" si="1"/>
        <v>0</v>
      </c>
      <c r="L29" s="378"/>
      <c r="M29" s="257" t="str">
        <f t="shared" si="2"/>
        <v/>
      </c>
      <c r="N29" s="407">
        <f>IF(E29&gt;11,F29,0)</f>
        <v>0</v>
      </c>
      <c r="O29" s="407"/>
      <c r="P29" s="380"/>
      <c r="Q29" s="381"/>
      <c r="T29" s="396" t="s">
        <v>137</v>
      </c>
      <c r="U29" s="396"/>
      <c r="W29" s="257">
        <f t="shared" ca="1" si="3"/>
        <v>46300</v>
      </c>
      <c r="AX29" s="91"/>
    </row>
    <row r="30" spans="1:50" x14ac:dyDescent="0.3">
      <c r="A30" s="76"/>
      <c r="B30" s="76"/>
      <c r="C30" s="249"/>
      <c r="D30" s="88"/>
      <c r="E30" s="278"/>
      <c r="F30" s="259"/>
      <c r="G30" s="259"/>
      <c r="H30" s="259"/>
      <c r="I30" s="259"/>
      <c r="J30" s="79"/>
      <c r="K30" s="408">
        <f t="shared" si="1"/>
        <v>0</v>
      </c>
      <c r="L30" s="408"/>
      <c r="M30" s="257" t="str">
        <f t="shared" si="2"/>
        <v/>
      </c>
      <c r="N30" s="409">
        <f>IF(E29&gt;12,F29,0)</f>
        <v>0</v>
      </c>
      <c r="O30" s="409"/>
      <c r="P30" s="380"/>
      <c r="Q30" s="381"/>
      <c r="T30" s="396" t="s">
        <v>138</v>
      </c>
      <c r="U30" s="396"/>
      <c r="W30" s="257">
        <f t="shared" ca="1" si="3"/>
        <v>46331</v>
      </c>
      <c r="AX30" s="91"/>
    </row>
    <row r="31" spans="1:50" x14ac:dyDescent="0.3">
      <c r="A31" s="76"/>
      <c r="B31" s="148" t="s">
        <v>139</v>
      </c>
      <c r="C31" s="148"/>
      <c r="D31" s="85" t="s">
        <v>102</v>
      </c>
      <c r="E31" s="279">
        <f>100%-E24</f>
        <v>0.8</v>
      </c>
      <c r="F31" s="400">
        <f>F22*E31</f>
        <v>9808708.8000000007</v>
      </c>
      <c r="G31" s="401"/>
      <c r="H31" s="401"/>
      <c r="I31" s="402"/>
      <c r="J31" s="79"/>
      <c r="K31" s="408">
        <f t="shared" si="1"/>
        <v>0</v>
      </c>
      <c r="L31" s="408"/>
      <c r="M31" s="257" t="str">
        <f t="shared" si="2"/>
        <v/>
      </c>
      <c r="N31" s="409">
        <f>IF(E29&gt;13,F29,0)</f>
        <v>0</v>
      </c>
      <c r="O31" s="409"/>
      <c r="P31" s="380"/>
      <c r="Q31" s="381"/>
      <c r="T31" s="396" t="s">
        <v>140</v>
      </c>
      <c r="U31" s="396"/>
      <c r="W31" s="257">
        <f t="shared" ca="1" si="3"/>
        <v>46361</v>
      </c>
      <c r="AX31" s="91"/>
    </row>
    <row r="32" spans="1:50" x14ac:dyDescent="0.3">
      <c r="A32" s="76"/>
      <c r="B32" s="76"/>
      <c r="C32" s="249"/>
      <c r="D32" s="278"/>
      <c r="E32" s="278"/>
      <c r="F32" s="278"/>
      <c r="G32" s="280"/>
      <c r="H32" s="280"/>
      <c r="I32" s="280"/>
      <c r="J32" s="170"/>
      <c r="K32" s="408">
        <f t="shared" si="1"/>
        <v>0</v>
      </c>
      <c r="L32" s="408"/>
      <c r="M32" s="257" t="str">
        <f t="shared" si="2"/>
        <v/>
      </c>
      <c r="N32" s="409">
        <f>IF(E29&gt;14,F29,0)</f>
        <v>0</v>
      </c>
      <c r="O32" s="409"/>
      <c r="P32" s="380"/>
      <c r="Q32" s="381"/>
      <c r="T32" s="396" t="s">
        <v>141</v>
      </c>
      <c r="U32" s="396"/>
      <c r="W32" s="257">
        <f t="shared" ca="1" si="3"/>
        <v>46392</v>
      </c>
      <c r="AX32" s="91"/>
    </row>
    <row r="33" spans="1:49" s="91" customFormat="1" x14ac:dyDescent="0.3">
      <c r="A33" s="76"/>
      <c r="B33" s="73" t="s">
        <v>142</v>
      </c>
      <c r="C33" s="180"/>
      <c r="D33" s="137"/>
      <c r="E33" s="281"/>
      <c r="F33" s="278"/>
      <c r="G33" s="280"/>
      <c r="H33" s="280"/>
      <c r="I33" s="280"/>
      <c r="J33" s="85"/>
      <c r="K33" s="408">
        <f t="shared" si="1"/>
        <v>0</v>
      </c>
      <c r="L33" s="408"/>
      <c r="M33" s="257" t="str">
        <f t="shared" si="2"/>
        <v/>
      </c>
      <c r="N33" s="409">
        <f>IF(E29&gt;15,F29,0)</f>
        <v>0</v>
      </c>
      <c r="O33" s="409"/>
      <c r="P33" s="380"/>
      <c r="Q33" s="381"/>
      <c r="T33" s="396" t="s">
        <v>143</v>
      </c>
      <c r="U33" s="396"/>
      <c r="W33" s="257">
        <f t="shared" ca="1" si="3"/>
        <v>46423</v>
      </c>
      <c r="AJ33" s="234"/>
      <c r="AW33" s="235"/>
    </row>
    <row r="34" spans="1:49" s="91" customFormat="1" x14ac:dyDescent="0.3">
      <c r="A34" s="76"/>
      <c r="B34" s="76"/>
      <c r="C34" s="249"/>
      <c r="D34" s="249"/>
      <c r="E34" s="282"/>
      <c r="F34" s="214"/>
      <c r="G34" s="214"/>
      <c r="H34" s="214"/>
      <c r="I34" s="214"/>
      <c r="J34" s="249"/>
      <c r="K34" s="408">
        <f t="shared" si="1"/>
        <v>0</v>
      </c>
      <c r="L34" s="408"/>
      <c r="M34" s="257" t="str">
        <f t="shared" si="2"/>
        <v/>
      </c>
      <c r="N34" s="409">
        <f>IF(E29&gt;16,F29,0)</f>
        <v>0</v>
      </c>
      <c r="O34" s="409"/>
      <c r="P34" s="380"/>
      <c r="Q34" s="381"/>
      <c r="T34" s="396" t="s">
        <v>144</v>
      </c>
      <c r="U34" s="396"/>
      <c r="W34" s="257">
        <f t="shared" ca="1" si="3"/>
        <v>46451</v>
      </c>
      <c r="AJ34" s="234"/>
      <c r="AW34" s="235"/>
    </row>
    <row r="35" spans="1:49" s="91" customFormat="1" x14ac:dyDescent="0.3">
      <c r="A35" s="76"/>
      <c r="B35" s="217" t="s">
        <v>145</v>
      </c>
      <c r="C35" s="217" t="s">
        <v>146</v>
      </c>
      <c r="D35" s="217" t="s">
        <v>147</v>
      </c>
      <c r="E35" s="217" t="s">
        <v>148</v>
      </c>
      <c r="F35" s="387" t="s">
        <v>149</v>
      </c>
      <c r="G35" s="387"/>
      <c r="H35" s="387"/>
      <c r="I35" s="387"/>
      <c r="J35" s="79"/>
      <c r="K35" s="408">
        <f t="shared" si="1"/>
        <v>0</v>
      </c>
      <c r="L35" s="408"/>
      <c r="M35" s="257" t="str">
        <f t="shared" si="2"/>
        <v/>
      </c>
      <c r="N35" s="409">
        <f>IF(E29&gt;17,F29,0)</f>
        <v>0</v>
      </c>
      <c r="O35" s="409"/>
      <c r="P35" s="380"/>
      <c r="Q35" s="381"/>
      <c r="T35" s="396" t="s">
        <v>150</v>
      </c>
      <c r="U35" s="396"/>
      <c r="W35" s="257">
        <f t="shared" ca="1" si="3"/>
        <v>46482</v>
      </c>
      <c r="AJ35" s="234"/>
      <c r="AW35" s="235"/>
    </row>
    <row r="36" spans="1:49" s="91" customFormat="1" x14ac:dyDescent="0.3">
      <c r="A36" s="76"/>
      <c r="B36" s="218">
        <v>5</v>
      </c>
      <c r="C36" s="219">
        <v>0.08</v>
      </c>
      <c r="D36" s="220">
        <f>PMT(C36/12,B36*12,-1)</f>
        <v>2.0276394288413678E-2</v>
      </c>
      <c r="E36" s="221">
        <f>F31*D36</f>
        <v>198885.24708903299</v>
      </c>
      <c r="F36" s="379">
        <f>E36/0.3</f>
        <v>662950.82363011001</v>
      </c>
      <c r="G36" s="379"/>
      <c r="H36" s="379"/>
      <c r="I36" s="379"/>
      <c r="J36" s="79"/>
      <c r="K36" s="408">
        <f t="shared" si="1"/>
        <v>0</v>
      </c>
      <c r="L36" s="408"/>
      <c r="M36" s="257" t="str">
        <f t="shared" si="2"/>
        <v/>
      </c>
      <c r="N36" s="409">
        <f>IF(E29&gt;18,F29,0)</f>
        <v>0</v>
      </c>
      <c r="O36" s="409"/>
      <c r="P36" s="380"/>
      <c r="Q36" s="381"/>
      <c r="T36" s="396" t="s">
        <v>151</v>
      </c>
      <c r="U36" s="396"/>
      <c r="W36" s="257">
        <f t="shared" ca="1" si="3"/>
        <v>46512</v>
      </c>
      <c r="AJ36" s="234"/>
      <c r="AW36" s="235"/>
    </row>
    <row r="37" spans="1:49" s="91" customFormat="1" x14ac:dyDescent="0.3">
      <c r="A37" s="76"/>
      <c r="B37" s="218">
        <v>10</v>
      </c>
      <c r="C37" s="219">
        <v>0.08</v>
      </c>
      <c r="D37" s="220">
        <f>PMT(C37/12,B37*12,-1)</f>
        <v>1.2132759435535692E-2</v>
      </c>
      <c r="E37" s="221">
        <f>F31*D37</f>
        <v>119006.70424362199</v>
      </c>
      <c r="F37" s="379">
        <f t="shared" ref="F37" si="4">E37/0.3</f>
        <v>396689.01414540666</v>
      </c>
      <c r="G37" s="379"/>
      <c r="H37" s="379"/>
      <c r="I37" s="379"/>
      <c r="J37" s="79"/>
      <c r="K37" s="408">
        <f t="shared" si="1"/>
        <v>0</v>
      </c>
      <c r="L37" s="408"/>
      <c r="M37" s="257" t="str">
        <f t="shared" si="2"/>
        <v/>
      </c>
      <c r="N37" s="409">
        <f>IF(E29&gt;19,F29,0)</f>
        <v>0</v>
      </c>
      <c r="O37" s="409"/>
      <c r="P37" s="380"/>
      <c r="Q37" s="381"/>
      <c r="T37" s="396" t="s">
        <v>152</v>
      </c>
      <c r="U37" s="396"/>
      <c r="W37" s="257">
        <f t="shared" ca="1" si="3"/>
        <v>46543</v>
      </c>
      <c r="AJ37" s="234"/>
      <c r="AW37" s="235"/>
    </row>
    <row r="38" spans="1:49" s="91" customFormat="1" x14ac:dyDescent="0.3">
      <c r="A38" s="76"/>
      <c r="B38" s="218">
        <v>15</v>
      </c>
      <c r="C38" s="219">
        <v>0.08</v>
      </c>
      <c r="D38" s="220">
        <f t="shared" ref="D38" si="5">PMT(C38/12,B38*12,-1)</f>
        <v>9.5565208433035145E-3</v>
      </c>
      <c r="E38" s="221">
        <f>F31*D38</f>
        <v>93737.130093094616</v>
      </c>
      <c r="F38" s="379">
        <f>E38/0.3</f>
        <v>312457.10031031538</v>
      </c>
      <c r="G38" s="379"/>
      <c r="H38" s="379"/>
      <c r="I38" s="379"/>
      <c r="J38" s="79"/>
      <c r="K38" s="408">
        <f t="shared" si="1"/>
        <v>0</v>
      </c>
      <c r="L38" s="408"/>
      <c r="M38" s="257" t="str">
        <f t="shared" si="2"/>
        <v/>
      </c>
      <c r="N38" s="409">
        <f>IF(E29&gt;20,F29,0)</f>
        <v>0</v>
      </c>
      <c r="O38" s="409"/>
      <c r="P38" s="380"/>
      <c r="Q38" s="381"/>
      <c r="T38" s="396" t="s">
        <v>153</v>
      </c>
      <c r="U38" s="396"/>
      <c r="W38" s="257">
        <f t="shared" ca="1" si="3"/>
        <v>46573</v>
      </c>
      <c r="AJ38" s="234"/>
      <c r="AW38" s="235"/>
    </row>
    <row r="39" spans="1:49" s="91" customFormat="1" x14ac:dyDescent="0.3">
      <c r="A39" s="76"/>
      <c r="B39" s="223" t="s">
        <v>154</v>
      </c>
      <c r="C39" s="283"/>
      <c r="D39" s="284"/>
      <c r="E39" s="285"/>
      <c r="F39" s="410"/>
      <c r="G39" s="410"/>
      <c r="H39" s="286"/>
      <c r="I39" s="76"/>
      <c r="J39" s="79"/>
      <c r="K39" s="408">
        <f t="shared" si="1"/>
        <v>0</v>
      </c>
      <c r="L39" s="408"/>
      <c r="M39" s="257" t="str">
        <f t="shared" si="2"/>
        <v/>
      </c>
      <c r="N39" s="409">
        <f>IF(E29&gt;21,F29,0)</f>
        <v>0</v>
      </c>
      <c r="O39" s="409"/>
      <c r="P39" s="380"/>
      <c r="Q39" s="381"/>
      <c r="T39" s="396" t="s">
        <v>155</v>
      </c>
      <c r="U39" s="396"/>
      <c r="W39" s="257">
        <f t="shared" ca="1" si="3"/>
        <v>46604</v>
      </c>
      <c r="AJ39" s="234"/>
      <c r="AW39" s="235"/>
    </row>
    <row r="40" spans="1:49" s="91" customFormat="1" x14ac:dyDescent="0.3">
      <c r="A40" s="76"/>
      <c r="B40" s="223" t="s">
        <v>156</v>
      </c>
      <c r="C40" s="225"/>
      <c r="D40" s="88"/>
      <c r="E40" s="76"/>
      <c r="F40" s="76"/>
      <c r="G40" s="76"/>
      <c r="H40" s="76"/>
      <c r="I40" s="76"/>
      <c r="J40" s="79"/>
      <c r="K40" s="408">
        <f t="shared" si="1"/>
        <v>0</v>
      </c>
      <c r="L40" s="408"/>
      <c r="M40" s="257" t="str">
        <f t="shared" si="2"/>
        <v/>
      </c>
      <c r="N40" s="409">
        <f>IF(E29&gt;22,F29,0)</f>
        <v>0</v>
      </c>
      <c r="O40" s="409"/>
      <c r="P40" s="380"/>
      <c r="Q40" s="381"/>
      <c r="T40" s="396" t="s">
        <v>157</v>
      </c>
      <c r="U40" s="396"/>
      <c r="W40" s="257">
        <f t="shared" ca="1" si="3"/>
        <v>46635</v>
      </c>
      <c r="AJ40" s="234"/>
      <c r="AN40" s="287">
        <v>3128865.99</v>
      </c>
      <c r="AW40" s="235"/>
    </row>
    <row r="41" spans="1:49" s="91" customFormat="1" x14ac:dyDescent="0.3">
      <c r="A41" s="76"/>
      <c r="B41" s="224" t="s">
        <v>158</v>
      </c>
      <c r="C41" s="76"/>
      <c r="D41" s="88"/>
      <c r="E41" s="76"/>
      <c r="F41" s="76"/>
      <c r="G41" s="76"/>
      <c r="H41" s="76"/>
      <c r="I41" s="76"/>
      <c r="J41" s="79"/>
      <c r="K41" s="408">
        <f t="shared" si="1"/>
        <v>0</v>
      </c>
      <c r="L41" s="408"/>
      <c r="M41" s="257" t="str">
        <f t="shared" si="2"/>
        <v/>
      </c>
      <c r="N41" s="409">
        <f>IF(E29&gt;24,F29,0)</f>
        <v>0</v>
      </c>
      <c r="O41" s="409"/>
      <c r="P41" s="380"/>
      <c r="Q41" s="381"/>
      <c r="T41" s="396" t="s">
        <v>159</v>
      </c>
      <c r="U41" s="396"/>
      <c r="W41" s="257">
        <f t="shared" ca="1" si="3"/>
        <v>46665</v>
      </c>
      <c r="AJ41" s="234"/>
      <c r="AW41" s="235"/>
    </row>
    <row r="42" spans="1:49" s="91" customFormat="1" x14ac:dyDescent="0.3">
      <c r="A42" s="76"/>
      <c r="B42" s="224" t="s">
        <v>160</v>
      </c>
      <c r="C42" s="225"/>
      <c r="D42" s="88"/>
      <c r="E42" s="76"/>
      <c r="F42" s="76"/>
      <c r="G42" s="76"/>
      <c r="H42" s="76"/>
      <c r="I42" s="76"/>
      <c r="J42" s="85"/>
      <c r="K42" s="408">
        <f t="shared" si="1"/>
        <v>0</v>
      </c>
      <c r="L42" s="408"/>
      <c r="M42" s="257" t="str">
        <f t="shared" si="2"/>
        <v/>
      </c>
      <c r="N42" s="409">
        <f>IF(E29&gt;24,F29,0)</f>
        <v>0</v>
      </c>
      <c r="O42" s="409"/>
      <c r="P42" s="380"/>
      <c r="Q42" s="381"/>
      <c r="T42" s="396" t="s">
        <v>161</v>
      </c>
      <c r="U42" s="396"/>
      <c r="W42" s="257">
        <f t="shared" ca="1" si="3"/>
        <v>46696</v>
      </c>
      <c r="AJ42" s="234"/>
      <c r="AW42" s="235"/>
    </row>
    <row r="43" spans="1:49" s="91" customFormat="1" hidden="1" x14ac:dyDescent="0.3">
      <c r="A43" s="76"/>
      <c r="B43" s="223"/>
      <c r="C43" s="76"/>
      <c r="D43" s="76"/>
      <c r="E43" s="76"/>
      <c r="F43" s="76"/>
      <c r="G43" s="76"/>
      <c r="H43" s="76"/>
      <c r="I43" s="76"/>
      <c r="J43" s="88"/>
      <c r="K43" s="378">
        <f t="shared" si="1"/>
        <v>0</v>
      </c>
      <c r="L43" s="378"/>
      <c r="M43" s="257" t="str">
        <f t="shared" si="2"/>
        <v/>
      </c>
      <c r="N43" s="407">
        <f>IF(E29&gt;25,F29,0)</f>
        <v>0</v>
      </c>
      <c r="O43" s="407"/>
      <c r="P43" s="380"/>
      <c r="Q43" s="381"/>
      <c r="T43" s="396" t="s">
        <v>162</v>
      </c>
      <c r="U43" s="396"/>
      <c r="W43" s="257">
        <f t="shared" ca="1" si="3"/>
        <v>46726</v>
      </c>
      <c r="AJ43" s="234"/>
      <c r="AW43" s="235"/>
    </row>
    <row r="44" spans="1:49" s="91" customFormat="1" hidden="1" x14ac:dyDescent="0.3">
      <c r="A44" s="76"/>
      <c r="B44" s="164" t="s">
        <v>163</v>
      </c>
      <c r="C44" s="164"/>
      <c r="D44" s="249"/>
      <c r="E44" s="249"/>
      <c r="F44" s="249"/>
      <c r="G44" s="249"/>
      <c r="H44" s="249"/>
      <c r="I44" s="249"/>
      <c r="J44" s="88"/>
      <c r="K44" s="378">
        <f t="shared" si="1"/>
        <v>0</v>
      </c>
      <c r="L44" s="378"/>
      <c r="M44" s="257" t="str">
        <f t="shared" si="2"/>
        <v/>
      </c>
      <c r="N44" s="407">
        <f>IF(E29&gt;26,F29,0)</f>
        <v>0</v>
      </c>
      <c r="O44" s="407"/>
      <c r="P44" s="380"/>
      <c r="Q44" s="381"/>
      <c r="T44" s="396" t="s">
        <v>164</v>
      </c>
      <c r="U44" s="396"/>
      <c r="W44" s="257">
        <f t="shared" ca="1" si="3"/>
        <v>46757</v>
      </c>
      <c r="AJ44" s="234"/>
      <c r="AW44" s="235"/>
    </row>
    <row r="45" spans="1:49" s="91" customFormat="1" hidden="1" x14ac:dyDescent="0.3">
      <c r="A45" s="76"/>
      <c r="B45" s="249"/>
      <c r="C45" s="249"/>
      <c r="D45" s="249"/>
      <c r="E45" s="249"/>
      <c r="F45" s="249"/>
      <c r="G45" s="249"/>
      <c r="H45" s="249"/>
      <c r="I45" s="249"/>
      <c r="J45" s="88"/>
      <c r="K45" s="378">
        <f t="shared" si="1"/>
        <v>0</v>
      </c>
      <c r="L45" s="378"/>
      <c r="M45" s="257" t="str">
        <f t="shared" si="2"/>
        <v/>
      </c>
      <c r="N45" s="407">
        <f>IF($E$29&gt;27,$F$29,0)</f>
        <v>0</v>
      </c>
      <c r="O45" s="407"/>
      <c r="P45" s="380"/>
      <c r="Q45" s="381"/>
      <c r="T45" s="396" t="s">
        <v>165</v>
      </c>
      <c r="U45" s="396"/>
      <c r="W45" s="257">
        <f t="shared" ca="1" si="3"/>
        <v>46788</v>
      </c>
      <c r="AJ45" s="234"/>
      <c r="AW45" s="235"/>
    </row>
    <row r="46" spans="1:49" s="91" customFormat="1" hidden="1" x14ac:dyDescent="0.3">
      <c r="A46" s="76"/>
      <c r="B46" s="411"/>
      <c r="C46" s="411"/>
      <c r="D46" s="411"/>
      <c r="E46" s="411"/>
      <c r="F46" s="411"/>
      <c r="G46" s="411"/>
      <c r="H46" s="411"/>
      <c r="I46" s="411"/>
      <c r="J46" s="88"/>
      <c r="K46" s="378">
        <f t="shared" si="1"/>
        <v>0</v>
      </c>
      <c r="L46" s="378"/>
      <c r="M46" s="257" t="str">
        <f t="shared" si="2"/>
        <v/>
      </c>
      <c r="N46" s="407">
        <f>IF($E$29&gt;28,$F$29,0)</f>
        <v>0</v>
      </c>
      <c r="O46" s="407"/>
      <c r="P46" s="380"/>
      <c r="Q46" s="381"/>
      <c r="T46" s="396" t="s">
        <v>166</v>
      </c>
      <c r="U46" s="396"/>
      <c r="W46" s="257">
        <f t="shared" ca="1" si="3"/>
        <v>46817</v>
      </c>
    </row>
    <row r="47" spans="1:49" s="91" customFormat="1" hidden="1" x14ac:dyDescent="0.3">
      <c r="A47" s="76"/>
      <c r="B47" s="413"/>
      <c r="C47" s="413"/>
      <c r="D47" s="413"/>
      <c r="E47" s="413"/>
      <c r="F47" s="413"/>
      <c r="G47" s="414"/>
      <c r="H47" s="414"/>
      <c r="I47" s="414"/>
      <c r="J47" s="85"/>
      <c r="K47" s="378">
        <f t="shared" si="1"/>
        <v>0</v>
      </c>
      <c r="L47" s="378"/>
      <c r="M47" s="257" t="str">
        <f t="shared" si="2"/>
        <v/>
      </c>
      <c r="N47" s="407">
        <f>IF($E$29&gt;29,$F$29,0)</f>
        <v>0</v>
      </c>
      <c r="O47" s="407"/>
      <c r="P47" s="380"/>
      <c r="Q47" s="381"/>
      <c r="T47" s="396" t="s">
        <v>167</v>
      </c>
      <c r="U47" s="396"/>
      <c r="W47" s="257">
        <f t="shared" ca="1" si="3"/>
        <v>46848</v>
      </c>
    </row>
    <row r="48" spans="1:49" s="91" customFormat="1" ht="15" hidden="1" customHeight="1" x14ac:dyDescent="0.3">
      <c r="A48" s="76"/>
      <c r="B48" s="413"/>
      <c r="C48" s="413"/>
      <c r="D48" s="413"/>
      <c r="E48" s="413"/>
      <c r="F48" s="413"/>
      <c r="G48" s="414"/>
      <c r="H48" s="414"/>
      <c r="I48" s="414"/>
      <c r="J48" s="85"/>
      <c r="K48" s="378">
        <f t="shared" si="1"/>
        <v>0</v>
      </c>
      <c r="L48" s="378"/>
      <c r="M48" s="257" t="str">
        <f t="shared" si="2"/>
        <v/>
      </c>
      <c r="N48" s="407">
        <f>IF($E$29&gt;30,$F$29,0)</f>
        <v>0</v>
      </c>
      <c r="O48" s="407"/>
      <c r="P48" s="380"/>
      <c r="Q48" s="381"/>
      <c r="T48" s="412" t="s">
        <v>168</v>
      </c>
      <c r="U48" s="412"/>
      <c r="W48" s="257">
        <f t="shared" ca="1" si="3"/>
        <v>46878</v>
      </c>
    </row>
    <row r="49" spans="1:23" s="91" customFormat="1" hidden="1" x14ac:dyDescent="0.3">
      <c r="A49" s="76"/>
      <c r="B49" s="413"/>
      <c r="C49" s="413"/>
      <c r="D49" s="413"/>
      <c r="E49" s="413"/>
      <c r="F49" s="413"/>
      <c r="G49" s="414"/>
      <c r="H49" s="414"/>
      <c r="I49" s="414"/>
      <c r="J49" s="214"/>
      <c r="K49" s="378">
        <f t="shared" si="1"/>
        <v>0</v>
      </c>
      <c r="L49" s="378"/>
      <c r="M49" s="257" t="str">
        <f t="shared" si="2"/>
        <v/>
      </c>
      <c r="N49" s="407">
        <f>IF($E$29&gt;31,$F$29,0)</f>
        <v>0</v>
      </c>
      <c r="O49" s="407"/>
      <c r="P49" s="380"/>
      <c r="Q49" s="381"/>
      <c r="T49" s="412" t="s">
        <v>169</v>
      </c>
      <c r="U49" s="412"/>
      <c r="W49" s="257">
        <f t="shared" ca="1" si="3"/>
        <v>46909</v>
      </c>
    </row>
    <row r="50" spans="1:23" s="91" customFormat="1" ht="15" hidden="1" customHeight="1" x14ac:dyDescent="0.3">
      <c r="A50" s="76"/>
      <c r="B50" s="413"/>
      <c r="C50" s="413"/>
      <c r="D50" s="413"/>
      <c r="E50" s="413"/>
      <c r="F50" s="413"/>
      <c r="G50" s="414"/>
      <c r="H50" s="414"/>
      <c r="I50" s="414"/>
      <c r="J50" s="214"/>
      <c r="K50" s="378">
        <f t="shared" si="1"/>
        <v>0</v>
      </c>
      <c r="L50" s="378"/>
      <c r="M50" s="257" t="str">
        <f t="shared" si="2"/>
        <v/>
      </c>
      <c r="N50" s="407">
        <f>IF($E$29&gt;32,$F$29,0)</f>
        <v>0</v>
      </c>
      <c r="O50" s="407"/>
      <c r="P50" s="380"/>
      <c r="Q50" s="381"/>
      <c r="T50" s="396" t="s">
        <v>170</v>
      </c>
      <c r="U50" s="396"/>
      <c r="W50" s="257">
        <f t="shared" ca="1" si="3"/>
        <v>46939</v>
      </c>
    </row>
    <row r="51" spans="1:23" s="91" customFormat="1" hidden="1" x14ac:dyDescent="0.3">
      <c r="A51" s="76"/>
      <c r="B51" s="413"/>
      <c r="C51" s="413"/>
      <c r="D51" s="413"/>
      <c r="E51" s="413"/>
      <c r="F51" s="413"/>
      <c r="G51" s="414"/>
      <c r="H51" s="414"/>
      <c r="I51" s="414"/>
      <c r="J51" s="214"/>
      <c r="K51" s="378">
        <f t="shared" si="1"/>
        <v>0</v>
      </c>
      <c r="L51" s="378"/>
      <c r="M51" s="257" t="str">
        <f t="shared" si="2"/>
        <v/>
      </c>
      <c r="N51" s="407">
        <f>IF($E$29&gt;33,$F$29,0)</f>
        <v>0</v>
      </c>
      <c r="O51" s="407"/>
      <c r="P51" s="380"/>
      <c r="Q51" s="381"/>
      <c r="T51" s="396" t="s">
        <v>171</v>
      </c>
      <c r="U51" s="396"/>
      <c r="W51" s="257">
        <f t="shared" ca="1" si="3"/>
        <v>46970</v>
      </c>
    </row>
    <row r="52" spans="1:23" s="91" customFormat="1" ht="15" hidden="1" customHeight="1" x14ac:dyDescent="0.3">
      <c r="A52" s="76"/>
      <c r="B52" s="413"/>
      <c r="C52" s="413"/>
      <c r="D52" s="413"/>
      <c r="E52" s="413"/>
      <c r="F52" s="413"/>
      <c r="G52" s="414"/>
      <c r="H52" s="414"/>
      <c r="I52" s="414"/>
      <c r="J52" s="76"/>
      <c r="K52" s="378">
        <f t="shared" si="1"/>
        <v>0</v>
      </c>
      <c r="L52" s="378"/>
      <c r="M52" s="257" t="str">
        <f t="shared" si="2"/>
        <v/>
      </c>
      <c r="N52" s="407">
        <f>IF($E$29&gt;34,$F$29,0)</f>
        <v>0</v>
      </c>
      <c r="O52" s="407"/>
      <c r="P52" s="380"/>
      <c r="Q52" s="381"/>
      <c r="T52" s="396" t="s">
        <v>172</v>
      </c>
      <c r="U52" s="396"/>
      <c r="W52" s="257">
        <f t="shared" ca="1" si="3"/>
        <v>47001</v>
      </c>
    </row>
    <row r="53" spans="1:23" s="91" customFormat="1" hidden="1" x14ac:dyDescent="0.3">
      <c r="A53" s="76"/>
      <c r="B53" s="413"/>
      <c r="C53" s="413"/>
      <c r="D53" s="413"/>
      <c r="E53" s="413"/>
      <c r="F53" s="413"/>
      <c r="G53" s="414"/>
      <c r="H53" s="414"/>
      <c r="I53" s="414"/>
      <c r="J53" s="76"/>
      <c r="K53" s="378">
        <f t="shared" si="1"/>
        <v>0</v>
      </c>
      <c r="L53" s="378"/>
      <c r="M53" s="257" t="str">
        <f t="shared" si="2"/>
        <v/>
      </c>
      <c r="N53" s="407">
        <f>IF($E$29&gt;35,$F$29,0)</f>
        <v>0</v>
      </c>
      <c r="O53" s="407"/>
      <c r="P53" s="380"/>
      <c r="Q53" s="381"/>
      <c r="T53" s="396" t="s">
        <v>173</v>
      </c>
      <c r="U53" s="396"/>
      <c r="W53" s="257">
        <f t="shared" ca="1" si="3"/>
        <v>47031</v>
      </c>
    </row>
    <row r="54" spans="1:23" s="91" customFormat="1" ht="15" hidden="1" customHeight="1" x14ac:dyDescent="0.3">
      <c r="A54" s="76"/>
      <c r="B54" s="413"/>
      <c r="C54" s="413"/>
      <c r="D54" s="413"/>
      <c r="E54" s="413"/>
      <c r="F54" s="413"/>
      <c r="G54" s="414"/>
      <c r="H54" s="414"/>
      <c r="I54" s="414"/>
      <c r="J54" s="76"/>
      <c r="K54" s="378">
        <f t="shared" si="1"/>
        <v>0</v>
      </c>
      <c r="L54" s="378"/>
      <c r="M54" s="257" t="str">
        <f t="shared" si="2"/>
        <v/>
      </c>
      <c r="N54" s="407">
        <f>IF($E$29&gt;36,$F$29,0)</f>
        <v>0</v>
      </c>
      <c r="O54" s="407"/>
      <c r="P54" s="380"/>
      <c r="Q54" s="381"/>
      <c r="T54" s="396" t="s">
        <v>174</v>
      </c>
      <c r="U54" s="396"/>
      <c r="W54" s="257">
        <f ca="1">IF(AND(DAY(W53)&gt;=6,DAY(W53)&lt;=20),DATE(YEAR(W53),MONTH(W53)+1,DAY(20)),IF(AND(DAY(W53)&gt;=21,DAY(W53)&lt;=30),DATE(YEAR(W53),MONTH(W53)+1,IF(DAY(EOMONTH(W53,1))&lt;30,DAY(EOMONTH(W53,1)),DAY(30))),DATE(YEAR(W53),MONTH(W53)+1,DAY(5))))</f>
        <v>47062</v>
      </c>
    </row>
    <row r="55" spans="1:23" s="91" customFormat="1" hidden="1" x14ac:dyDescent="0.3">
      <c r="A55" s="76"/>
      <c r="B55" s="413"/>
      <c r="C55" s="413"/>
      <c r="D55" s="413"/>
      <c r="E55" s="413"/>
      <c r="F55" s="413"/>
      <c r="G55" s="414"/>
      <c r="H55" s="414"/>
      <c r="I55" s="414"/>
      <c r="J55" s="76"/>
      <c r="K55" s="378">
        <f t="shared" si="1"/>
        <v>0</v>
      </c>
      <c r="L55" s="378"/>
      <c r="M55" s="257" t="str">
        <f t="shared" si="2"/>
        <v/>
      </c>
      <c r="N55" s="407">
        <f>IF($E$29&gt;37,$F$29,0)</f>
        <v>0</v>
      </c>
      <c r="O55" s="407"/>
      <c r="P55" s="380"/>
      <c r="Q55" s="381"/>
      <c r="T55" s="396" t="s">
        <v>175</v>
      </c>
      <c r="U55" s="396"/>
      <c r="W55" s="257">
        <f t="shared" ca="1" si="3"/>
        <v>47092</v>
      </c>
    </row>
    <row r="56" spans="1:23" s="91" customFormat="1" ht="15" hidden="1" customHeight="1" x14ac:dyDescent="0.3">
      <c r="A56" s="76"/>
      <c r="B56" s="413"/>
      <c r="C56" s="413"/>
      <c r="D56" s="413"/>
      <c r="E56" s="413"/>
      <c r="F56" s="413"/>
      <c r="G56" s="414"/>
      <c r="H56" s="414"/>
      <c r="I56" s="414"/>
      <c r="J56" s="76"/>
      <c r="K56" s="378">
        <f t="shared" si="1"/>
        <v>0</v>
      </c>
      <c r="L56" s="378"/>
      <c r="M56" s="257" t="str">
        <f t="shared" si="2"/>
        <v/>
      </c>
      <c r="N56" s="407">
        <f>IF($E$29&gt;38,$F$29,0)</f>
        <v>0</v>
      </c>
      <c r="O56" s="407"/>
      <c r="P56" s="380"/>
      <c r="Q56" s="381"/>
      <c r="T56" s="396" t="s">
        <v>176</v>
      </c>
      <c r="U56" s="396"/>
      <c r="W56" s="257">
        <f t="shared" ca="1" si="3"/>
        <v>47123</v>
      </c>
    </row>
    <row r="57" spans="1:23" s="91" customFormat="1" hidden="1" x14ac:dyDescent="0.3">
      <c r="A57" s="76"/>
      <c r="B57" s="413"/>
      <c r="C57" s="413"/>
      <c r="D57" s="413"/>
      <c r="E57" s="413"/>
      <c r="F57" s="413"/>
      <c r="G57" s="414"/>
      <c r="H57" s="414"/>
      <c r="I57" s="414"/>
      <c r="J57" s="214"/>
      <c r="K57" s="378">
        <f t="shared" si="1"/>
        <v>0</v>
      </c>
      <c r="L57" s="378"/>
      <c r="M57" s="257" t="str">
        <f t="shared" si="2"/>
        <v/>
      </c>
      <c r="N57" s="407">
        <f>IF($E$29&gt;39,$F$29,0)</f>
        <v>0</v>
      </c>
      <c r="O57" s="407"/>
      <c r="P57" s="380"/>
      <c r="Q57" s="381"/>
      <c r="T57" s="396" t="s">
        <v>177</v>
      </c>
      <c r="U57" s="396"/>
      <c r="W57" s="257">
        <f t="shared" ca="1" si="3"/>
        <v>47154</v>
      </c>
    </row>
    <row r="58" spans="1:23" s="91" customFormat="1" ht="12.75" hidden="1" customHeight="1" x14ac:dyDescent="0.3">
      <c r="A58" s="76"/>
      <c r="B58" s="413"/>
      <c r="C58" s="413"/>
      <c r="D58" s="413"/>
      <c r="E58" s="413"/>
      <c r="F58" s="413"/>
      <c r="G58" s="414"/>
      <c r="H58" s="414"/>
      <c r="I58" s="414"/>
      <c r="J58" s="214"/>
      <c r="K58" s="378">
        <f t="shared" si="1"/>
        <v>0</v>
      </c>
      <c r="L58" s="378"/>
      <c r="M58" s="257" t="str">
        <f t="shared" si="2"/>
        <v/>
      </c>
      <c r="N58" s="407">
        <f>IF($E$29&gt;40,$F$29,0)</f>
        <v>0</v>
      </c>
      <c r="O58" s="407"/>
      <c r="P58" s="380"/>
      <c r="Q58" s="381"/>
      <c r="T58" s="396" t="s">
        <v>178</v>
      </c>
      <c r="U58" s="396"/>
      <c r="W58" s="257">
        <f t="shared" ca="1" si="3"/>
        <v>47182</v>
      </c>
    </row>
    <row r="59" spans="1:23" s="91" customFormat="1" hidden="1" x14ac:dyDescent="0.3">
      <c r="A59" s="76"/>
      <c r="B59" s="223"/>
      <c r="C59" s="76"/>
      <c r="D59" s="76"/>
      <c r="E59" s="76"/>
      <c r="F59" s="76"/>
      <c r="G59" s="76"/>
      <c r="H59" s="76"/>
      <c r="I59" s="76"/>
      <c r="J59" s="214"/>
      <c r="K59" s="378">
        <f t="shared" si="1"/>
        <v>0</v>
      </c>
      <c r="L59" s="378"/>
      <c r="M59" s="257" t="str">
        <f t="shared" si="2"/>
        <v/>
      </c>
      <c r="N59" s="407">
        <f>IF($E$29&gt;41,$F$29,0)</f>
        <v>0</v>
      </c>
      <c r="O59" s="407"/>
      <c r="P59" s="380"/>
      <c r="Q59" s="381"/>
      <c r="T59" s="396" t="s">
        <v>179</v>
      </c>
      <c r="U59" s="396"/>
      <c r="W59" s="257">
        <f t="shared" ca="1" si="3"/>
        <v>47213</v>
      </c>
    </row>
    <row r="60" spans="1:23" s="91" customFormat="1" hidden="1" x14ac:dyDescent="0.3">
      <c r="A60" s="76"/>
      <c r="C60" s="288"/>
      <c r="D60" s="417"/>
      <c r="E60" s="417"/>
      <c r="F60" s="417"/>
      <c r="G60" s="76"/>
      <c r="H60" s="76"/>
      <c r="I60" s="76"/>
      <c r="J60" s="214"/>
      <c r="K60" s="378">
        <f t="shared" si="1"/>
        <v>0</v>
      </c>
      <c r="L60" s="378"/>
      <c r="M60" s="257" t="str">
        <f t="shared" si="2"/>
        <v/>
      </c>
      <c r="N60" s="407">
        <f>IF($E$29&gt;42,$F$29,0)</f>
        <v>0</v>
      </c>
      <c r="O60" s="407"/>
      <c r="P60" s="380"/>
      <c r="Q60" s="381"/>
      <c r="T60" s="396" t="s">
        <v>180</v>
      </c>
      <c r="U60" s="396"/>
      <c r="W60" s="257">
        <f t="shared" ca="1" si="3"/>
        <v>47243</v>
      </c>
    </row>
    <row r="61" spans="1:23" s="91" customFormat="1" hidden="1" x14ac:dyDescent="0.3">
      <c r="A61" s="76"/>
      <c r="B61" s="288"/>
      <c r="C61" s="76"/>
      <c r="D61" s="289"/>
      <c r="E61" s="289"/>
      <c r="F61" s="76"/>
      <c r="G61" s="76"/>
      <c r="H61" s="76"/>
      <c r="I61" s="76"/>
      <c r="J61" s="214"/>
      <c r="K61" s="378">
        <f t="shared" si="1"/>
        <v>0</v>
      </c>
      <c r="L61" s="378"/>
      <c r="M61" s="257" t="str">
        <f t="shared" si="2"/>
        <v/>
      </c>
      <c r="N61" s="407">
        <f>IF($E$29&gt;43,$F$29,0)</f>
        <v>0</v>
      </c>
      <c r="O61" s="407"/>
      <c r="P61" s="380"/>
      <c r="Q61" s="381"/>
      <c r="T61" s="396" t="s">
        <v>181</v>
      </c>
      <c r="U61" s="396"/>
      <c r="W61" s="257">
        <f t="shared" ca="1" si="3"/>
        <v>47274</v>
      </c>
    </row>
    <row r="62" spans="1:23" s="91" customFormat="1" hidden="1" x14ac:dyDescent="0.3">
      <c r="A62" s="76"/>
      <c r="B62" s="288"/>
      <c r="C62" s="76"/>
      <c r="D62" s="289"/>
      <c r="E62" s="289"/>
      <c r="F62" s="76"/>
      <c r="G62" s="76"/>
      <c r="H62" s="76"/>
      <c r="I62" s="76"/>
      <c r="J62" s="214"/>
      <c r="K62" s="378">
        <f t="shared" si="1"/>
        <v>0</v>
      </c>
      <c r="L62" s="378"/>
      <c r="M62" s="257" t="str">
        <f t="shared" si="2"/>
        <v/>
      </c>
      <c r="N62" s="407">
        <f>IF($E$29&gt;44,$F$29,0)</f>
        <v>0</v>
      </c>
      <c r="O62" s="407"/>
      <c r="P62" s="127"/>
      <c r="Q62" s="127"/>
      <c r="T62" s="396" t="s">
        <v>182</v>
      </c>
      <c r="U62" s="396"/>
      <c r="W62" s="257">
        <f ca="1">IF(AND(DAY(W61)&gt;=6,DAY(W61)&lt;=20),DATE(YEAR(W61),MONTH(W61)+1,DAY(20)),IF(AND(DAY(W61)&gt;=21,DAY(W61)&lt;=30),DATE(YEAR(W61),MONTH(W61)+1,IF(DAY(EOMONTH(W61,1))&lt;30,DAY(EOMONTH(W61,1)),DAY(30))),DATE(YEAR(W61),MONTH(W61)+1,DAY(5))))</f>
        <v>47304</v>
      </c>
    </row>
    <row r="63" spans="1:23" s="91" customFormat="1" hidden="1" x14ac:dyDescent="0.3">
      <c r="A63" s="76"/>
      <c r="B63" s="288"/>
      <c r="C63" s="76"/>
      <c r="D63" s="289"/>
      <c r="E63" s="289"/>
      <c r="F63" s="76"/>
      <c r="G63" s="76"/>
      <c r="H63" s="76"/>
      <c r="I63" s="76"/>
      <c r="J63" s="214"/>
      <c r="K63" s="380">
        <f t="shared" si="1"/>
        <v>0</v>
      </c>
      <c r="L63" s="381"/>
      <c r="M63" s="257" t="str">
        <f t="shared" si="2"/>
        <v/>
      </c>
      <c r="N63" s="415">
        <f>IF($E$29&gt;45,$F$29,0)</f>
        <v>0</v>
      </c>
      <c r="O63" s="416"/>
      <c r="P63" s="127"/>
      <c r="Q63" s="127"/>
      <c r="T63" s="396" t="s">
        <v>183</v>
      </c>
      <c r="U63" s="396"/>
    </row>
    <row r="64" spans="1:23" s="91" customFormat="1" x14ac:dyDescent="0.3">
      <c r="A64" s="76"/>
      <c r="B64" s="288"/>
      <c r="C64" s="76"/>
      <c r="D64" s="289"/>
      <c r="E64" s="289"/>
      <c r="F64" s="76"/>
      <c r="G64" s="76"/>
      <c r="H64" s="76"/>
      <c r="I64" s="76"/>
      <c r="J64" s="214"/>
      <c r="K64" s="424" t="s">
        <v>184</v>
      </c>
      <c r="L64" s="424"/>
      <c r="M64" s="290">
        <f ca="1">IF(DAY(W17)=31,Y19,AA19)</f>
        <v>46147</v>
      </c>
      <c r="N64" s="425">
        <f>F31</f>
        <v>9808708.8000000007</v>
      </c>
      <c r="O64" s="425"/>
      <c r="P64" s="426"/>
      <c r="Q64" s="427"/>
    </row>
    <row r="65" spans="1:17" s="91" customFormat="1" x14ac:dyDescent="0.3">
      <c r="A65" s="76"/>
      <c r="B65" s="288"/>
      <c r="C65" s="76"/>
      <c r="D65" s="289"/>
      <c r="E65" s="289"/>
      <c r="F65" s="76"/>
      <c r="G65" s="76"/>
      <c r="H65" s="76"/>
      <c r="I65" s="76"/>
      <c r="J65" s="214"/>
      <c r="K65" s="428"/>
      <c r="L65" s="428"/>
      <c r="M65" s="210"/>
      <c r="N65" s="429"/>
      <c r="O65" s="429"/>
      <c r="P65" s="291"/>
      <c r="Q65" s="79"/>
    </row>
    <row r="66" spans="1:17" s="91" customFormat="1" x14ac:dyDescent="0.3">
      <c r="A66" s="76"/>
      <c r="J66" s="214"/>
      <c r="L66" s="93"/>
    </row>
    <row r="67" spans="1:17" s="91" customFormat="1" ht="12" customHeight="1" x14ac:dyDescent="0.3">
      <c r="A67" s="76"/>
      <c r="B67" s="79" t="s">
        <v>185</v>
      </c>
      <c r="C67" s="76"/>
      <c r="D67" s="76"/>
      <c r="E67" s="76"/>
      <c r="F67" s="79" t="s">
        <v>186</v>
      </c>
      <c r="G67" s="76"/>
      <c r="H67" s="76"/>
      <c r="I67" s="76"/>
      <c r="J67" s="214"/>
      <c r="K67" s="79" t="s">
        <v>185</v>
      </c>
      <c r="L67" s="76"/>
      <c r="M67" s="76"/>
      <c r="N67" s="76"/>
      <c r="O67" s="79" t="s">
        <v>186</v>
      </c>
      <c r="P67" s="76"/>
      <c r="Q67" s="76"/>
    </row>
    <row r="68" spans="1:17" s="91" customFormat="1" ht="12" customHeight="1" x14ac:dyDescent="0.3">
      <c r="A68" s="76"/>
      <c r="B68" s="76"/>
      <c r="C68" s="76"/>
      <c r="D68" s="88"/>
      <c r="E68" s="76"/>
      <c r="F68" s="76"/>
      <c r="G68" s="76"/>
      <c r="H68" s="76"/>
      <c r="I68" s="76"/>
      <c r="J68" s="214"/>
      <c r="K68" s="76"/>
      <c r="L68" s="76"/>
      <c r="M68" s="88"/>
      <c r="N68" s="76"/>
      <c r="O68" s="76"/>
      <c r="P68" s="76"/>
      <c r="Q68" s="76"/>
    </row>
    <row r="69" spans="1:17" s="91" customFormat="1" ht="12" customHeight="1" x14ac:dyDescent="0.3">
      <c r="A69" s="76"/>
      <c r="B69" s="76"/>
      <c r="C69" s="76"/>
      <c r="D69" s="88"/>
      <c r="E69" s="76"/>
      <c r="F69" s="76"/>
      <c r="G69" s="76"/>
      <c r="H69" s="76"/>
      <c r="I69" s="76"/>
      <c r="J69" s="214"/>
      <c r="K69" s="76"/>
      <c r="L69" s="76"/>
      <c r="M69" s="88"/>
      <c r="N69" s="76"/>
      <c r="O69" s="76"/>
      <c r="P69" s="76"/>
      <c r="Q69" s="76"/>
    </row>
    <row r="70" spans="1:17" s="91" customFormat="1" ht="12" customHeight="1" x14ac:dyDescent="0.3">
      <c r="A70" s="76"/>
      <c r="B70" s="420"/>
      <c r="C70" s="420"/>
      <c r="D70" s="420"/>
      <c r="E70" s="79"/>
      <c r="F70" s="292">
        <f>[3]FORM!I28</f>
        <v>0</v>
      </c>
      <c r="G70" s="292"/>
      <c r="H70" s="292"/>
      <c r="I70" s="292"/>
      <c r="J70" s="214"/>
      <c r="K70" s="420">
        <f>B70</f>
        <v>0</v>
      </c>
      <c r="L70" s="420"/>
      <c r="M70" s="420"/>
      <c r="N70" s="79"/>
      <c r="O70" s="421"/>
      <c r="P70" s="421"/>
      <c r="Q70" s="421"/>
    </row>
    <row r="71" spans="1:17" s="91" customFormat="1" ht="12" customHeight="1" x14ac:dyDescent="0.3">
      <c r="A71" s="76"/>
      <c r="B71" s="90" t="s">
        <v>187</v>
      </c>
      <c r="C71" s="293"/>
      <c r="D71" s="293"/>
      <c r="E71" s="76"/>
      <c r="F71" s="294" t="s">
        <v>188</v>
      </c>
      <c r="G71" s="294"/>
      <c r="H71" s="294"/>
      <c r="I71" s="89"/>
      <c r="J71" s="214"/>
      <c r="K71" s="90" t="s">
        <v>187</v>
      </c>
      <c r="L71" s="422"/>
      <c r="M71" s="422"/>
      <c r="N71" s="76"/>
      <c r="O71" s="423" t="s">
        <v>188</v>
      </c>
      <c r="P71" s="423"/>
      <c r="Q71" s="423"/>
    </row>
    <row r="72" spans="1:17" s="91" customFormat="1" ht="12" customHeight="1" x14ac:dyDescent="0.3">
      <c r="A72" s="76"/>
      <c r="B72" s="223"/>
      <c r="C72" s="76"/>
      <c r="D72" s="76"/>
      <c r="E72" s="76"/>
      <c r="F72" s="76"/>
      <c r="G72" s="76"/>
      <c r="H72" s="76"/>
      <c r="I72" s="76"/>
      <c r="J72" s="214"/>
    </row>
    <row r="73" spans="1:17" s="91" customFormat="1" ht="12" customHeight="1" x14ac:dyDescent="0.3">
      <c r="A73" s="76"/>
      <c r="B73" s="223"/>
      <c r="C73" s="76"/>
      <c r="D73" s="76"/>
      <c r="E73" s="76"/>
      <c r="F73" s="76"/>
      <c r="G73" s="76"/>
      <c r="H73" s="76"/>
      <c r="I73" s="76"/>
      <c r="J73" s="214"/>
      <c r="K73" s="157"/>
      <c r="L73" s="76"/>
      <c r="M73" s="78"/>
      <c r="N73" s="76"/>
      <c r="O73" s="76"/>
      <c r="P73" s="76"/>
      <c r="Q73" s="76"/>
    </row>
    <row r="74" spans="1:17" s="91" customFormat="1" ht="12" customHeight="1" x14ac:dyDescent="0.3">
      <c r="A74" s="76"/>
      <c r="B74" s="223"/>
      <c r="C74" s="76"/>
      <c r="D74" s="76"/>
      <c r="E74" s="76"/>
      <c r="F74" s="76"/>
      <c r="G74" s="76"/>
      <c r="H74" s="76"/>
      <c r="I74" s="76"/>
      <c r="J74" s="214"/>
      <c r="K74" s="157"/>
      <c r="L74" s="76"/>
      <c r="M74" s="78"/>
      <c r="N74" s="76"/>
      <c r="O74" s="76"/>
      <c r="P74" s="76"/>
      <c r="Q74" s="76"/>
    </row>
    <row r="75" spans="1:17" s="91" customFormat="1" ht="12" customHeight="1" x14ac:dyDescent="0.3">
      <c r="A75" s="76"/>
      <c r="B75" s="223"/>
      <c r="C75" s="76"/>
      <c r="D75" s="76"/>
      <c r="E75" s="76"/>
      <c r="F75" s="76"/>
      <c r="G75" s="76"/>
      <c r="H75" s="76"/>
      <c r="I75" s="76"/>
      <c r="J75" s="214"/>
      <c r="K75" s="157"/>
      <c r="L75" s="76"/>
      <c r="M75" s="78"/>
      <c r="N75" s="76"/>
      <c r="O75" s="76"/>
      <c r="P75" s="76"/>
      <c r="Q75" s="76"/>
    </row>
    <row r="76" spans="1:17" s="91" customFormat="1" ht="12" customHeight="1" x14ac:dyDescent="0.3">
      <c r="A76" s="76"/>
      <c r="B76" s="223"/>
      <c r="C76" s="76"/>
      <c r="D76" s="88"/>
      <c r="E76" s="76"/>
      <c r="F76" s="76"/>
      <c r="G76" s="76"/>
      <c r="H76" s="76"/>
      <c r="I76" s="76"/>
      <c r="J76" s="214"/>
      <c r="K76" s="157"/>
      <c r="L76" s="76"/>
      <c r="M76" s="78"/>
      <c r="N76" s="76"/>
      <c r="O76" s="76"/>
      <c r="P76" s="76"/>
      <c r="Q76" s="76"/>
    </row>
    <row r="77" spans="1:17" s="91" customFormat="1" ht="12" customHeight="1" x14ac:dyDescent="0.3">
      <c r="A77" s="76"/>
      <c r="B77" s="223"/>
      <c r="C77" s="76"/>
      <c r="D77" s="88"/>
      <c r="E77" s="76"/>
      <c r="F77" s="76"/>
      <c r="G77" s="76"/>
      <c r="H77" s="76"/>
      <c r="I77" s="76"/>
      <c r="J77" s="214"/>
      <c r="K77" s="157"/>
      <c r="L77" s="76"/>
      <c r="M77" s="78"/>
      <c r="N77" s="76"/>
      <c r="O77" s="76"/>
      <c r="P77" s="76"/>
      <c r="Q77" s="76"/>
    </row>
    <row r="78" spans="1:17" s="91" customFormat="1" ht="12" customHeight="1" x14ac:dyDescent="0.3">
      <c r="A78" s="76"/>
      <c r="B78" s="223"/>
      <c r="C78" s="76"/>
      <c r="D78" s="88"/>
      <c r="E78" s="76"/>
      <c r="F78" s="76"/>
      <c r="G78" s="76"/>
      <c r="H78" s="76"/>
      <c r="I78" s="76"/>
      <c r="J78" s="214"/>
      <c r="K78" s="157"/>
      <c r="L78" s="76"/>
      <c r="M78" s="78"/>
      <c r="N78" s="76"/>
      <c r="O78" s="76"/>
      <c r="P78" s="76"/>
      <c r="Q78" s="76"/>
    </row>
    <row r="79" spans="1:17" s="91" customFormat="1" ht="12" customHeight="1" x14ac:dyDescent="0.3">
      <c r="A79" s="76"/>
      <c r="B79" s="223"/>
      <c r="C79" s="76"/>
      <c r="D79" s="76"/>
      <c r="E79" s="76"/>
      <c r="F79" s="76"/>
      <c r="G79" s="76"/>
      <c r="H79" s="76"/>
      <c r="I79" s="76"/>
      <c r="J79" s="214"/>
      <c r="K79" s="157"/>
      <c r="L79" s="76"/>
      <c r="M79" s="78"/>
      <c r="N79" s="76"/>
      <c r="O79" s="76"/>
      <c r="P79" s="76"/>
      <c r="Q79" s="76"/>
    </row>
    <row r="80" spans="1:17" s="91" customFormat="1" ht="12" customHeight="1" x14ac:dyDescent="0.3">
      <c r="A80" s="76"/>
      <c r="B80" s="223"/>
      <c r="C80" s="76"/>
      <c r="D80" s="76"/>
      <c r="E80" s="76"/>
      <c r="F80" s="76"/>
      <c r="G80" s="76"/>
      <c r="H80" s="76"/>
      <c r="I80" s="76"/>
      <c r="J80" s="214"/>
      <c r="K80" s="157"/>
      <c r="L80" s="76"/>
      <c r="M80" s="78"/>
      <c r="N80" s="76"/>
      <c r="O80" s="76"/>
      <c r="P80" s="76"/>
      <c r="Q80" s="76"/>
    </row>
    <row r="81" spans="1:17" s="91" customFormat="1" ht="12" customHeight="1" x14ac:dyDescent="0.3">
      <c r="A81" s="76"/>
      <c r="B81" s="223"/>
      <c r="C81" s="76"/>
      <c r="D81" s="76"/>
      <c r="E81" s="76"/>
      <c r="F81" s="76"/>
      <c r="G81" s="76"/>
      <c r="H81" s="76"/>
      <c r="I81" s="76"/>
      <c r="J81" s="214"/>
      <c r="K81" s="157"/>
      <c r="L81" s="76"/>
      <c r="M81" s="78"/>
      <c r="N81" s="76"/>
      <c r="O81" s="76"/>
      <c r="P81" s="76"/>
      <c r="Q81" s="76"/>
    </row>
    <row r="82" spans="1:17" s="91" customFormat="1" ht="12" customHeight="1" x14ac:dyDescent="0.3">
      <c r="A82" s="76"/>
      <c r="B82" s="223"/>
      <c r="C82" s="76"/>
      <c r="D82" s="76"/>
      <c r="E82" s="76"/>
      <c r="F82" s="76"/>
      <c r="G82" s="76"/>
      <c r="H82" s="76"/>
      <c r="I82" s="76"/>
      <c r="J82" s="214"/>
      <c r="K82" s="157"/>
      <c r="L82" s="76"/>
      <c r="M82" s="78"/>
      <c r="N82" s="76"/>
      <c r="O82" s="76"/>
      <c r="P82" s="76"/>
      <c r="Q82" s="76"/>
    </row>
    <row r="83" spans="1:17" s="91" customFormat="1" ht="12" customHeight="1" x14ac:dyDescent="0.3">
      <c r="A83" s="76"/>
      <c r="B83" s="223"/>
      <c r="C83" s="76"/>
      <c r="D83" s="76"/>
      <c r="E83" s="76"/>
      <c r="F83" s="76"/>
      <c r="G83" s="76"/>
      <c r="H83" s="76"/>
      <c r="I83" s="76"/>
      <c r="J83" s="214"/>
      <c r="K83" s="157"/>
      <c r="L83" s="76"/>
      <c r="M83" s="78"/>
      <c r="N83" s="76"/>
      <c r="O83" s="76"/>
      <c r="P83" s="76"/>
      <c r="Q83" s="76"/>
    </row>
    <row r="84" spans="1:17" s="91" customFormat="1" ht="12" customHeight="1" x14ac:dyDescent="0.3">
      <c r="A84" s="76"/>
      <c r="B84" s="223"/>
      <c r="C84" s="76"/>
      <c r="D84" s="76"/>
      <c r="E84" s="76"/>
      <c r="F84" s="76"/>
      <c r="G84" s="76"/>
      <c r="H84" s="76"/>
      <c r="I84" s="76"/>
      <c r="J84" s="214"/>
      <c r="K84" s="157"/>
      <c r="L84" s="76"/>
      <c r="M84" s="78"/>
      <c r="N84" s="76"/>
      <c r="O84" s="76"/>
      <c r="P84" s="76"/>
      <c r="Q84" s="76"/>
    </row>
    <row r="85" spans="1:17" s="91" customFormat="1" ht="12" customHeight="1" x14ac:dyDescent="0.3">
      <c r="A85" s="76"/>
      <c r="B85" s="223"/>
      <c r="C85" s="76"/>
      <c r="D85" s="76"/>
      <c r="E85" s="76"/>
      <c r="F85" s="76"/>
      <c r="G85" s="76"/>
      <c r="H85" s="76"/>
      <c r="I85" s="76"/>
      <c r="J85" s="214"/>
      <c r="K85" s="157"/>
      <c r="L85" s="76"/>
      <c r="M85" s="78"/>
      <c r="N85" s="76"/>
      <c r="O85" s="76"/>
      <c r="P85" s="76"/>
      <c r="Q85" s="76"/>
    </row>
    <row r="86" spans="1:17" s="91" customFormat="1" ht="12" customHeight="1" x14ac:dyDescent="0.3">
      <c r="A86" s="76"/>
      <c r="B86" s="223"/>
      <c r="C86" s="76"/>
      <c r="D86" s="76"/>
      <c r="E86" s="76"/>
      <c r="F86" s="76"/>
      <c r="G86" s="76"/>
      <c r="H86" s="76"/>
      <c r="I86" s="76"/>
      <c r="J86" s="214"/>
      <c r="K86" s="157"/>
      <c r="L86" s="76"/>
      <c r="M86" s="78"/>
      <c r="N86" s="76"/>
      <c r="O86" s="76"/>
      <c r="P86" s="76"/>
      <c r="Q86" s="76"/>
    </row>
    <row r="87" spans="1:17" s="91" customFormat="1" ht="12" customHeight="1" x14ac:dyDescent="0.3">
      <c r="A87" s="76"/>
      <c r="B87" s="223"/>
      <c r="C87" s="76"/>
      <c r="D87" s="76"/>
      <c r="E87" s="76"/>
      <c r="F87" s="76"/>
      <c r="G87" s="76"/>
      <c r="H87" s="76"/>
      <c r="I87" s="76"/>
      <c r="J87" s="214"/>
      <c r="K87" s="157"/>
      <c r="L87" s="76"/>
      <c r="M87" s="78"/>
      <c r="N87" s="76"/>
      <c r="O87" s="76"/>
      <c r="P87" s="76"/>
      <c r="Q87" s="76"/>
    </row>
    <row r="88" spans="1:17" s="91" customFormat="1" x14ac:dyDescent="0.3">
      <c r="A88" s="76"/>
      <c r="B88" s="223"/>
      <c r="C88" s="76"/>
      <c r="D88" s="76"/>
      <c r="E88" s="76"/>
      <c r="F88" s="76"/>
      <c r="G88" s="76"/>
      <c r="H88" s="76"/>
      <c r="I88" s="76"/>
      <c r="J88" s="214"/>
      <c r="K88" s="157"/>
      <c r="L88" s="76"/>
      <c r="M88" s="78"/>
      <c r="N88" s="76"/>
      <c r="O88" s="76"/>
      <c r="P88" s="76"/>
      <c r="Q88" s="76"/>
    </row>
    <row r="89" spans="1:17" s="91" customFormat="1" ht="12" customHeight="1" x14ac:dyDescent="0.3">
      <c r="A89" s="76"/>
      <c r="B89" s="223"/>
      <c r="C89" s="76"/>
      <c r="D89" s="76"/>
      <c r="E89" s="76"/>
      <c r="F89" s="76"/>
      <c r="G89" s="76"/>
      <c r="H89" s="76"/>
      <c r="I89" s="76"/>
      <c r="J89" s="214"/>
      <c r="K89" s="157"/>
      <c r="L89" s="76"/>
      <c r="M89" s="78"/>
      <c r="N89" s="76"/>
      <c r="O89" s="76"/>
      <c r="P89" s="76"/>
      <c r="Q89" s="76"/>
    </row>
    <row r="90" spans="1:17" s="91" customFormat="1" ht="12" customHeight="1" x14ac:dyDescent="0.3">
      <c r="A90" s="76"/>
      <c r="B90" s="223"/>
      <c r="C90" s="76"/>
      <c r="D90" s="76"/>
      <c r="E90" s="76"/>
      <c r="F90" s="76"/>
      <c r="G90" s="76"/>
      <c r="H90" s="76"/>
      <c r="I90" s="76"/>
      <c r="J90" s="214"/>
      <c r="K90" s="157"/>
      <c r="L90" s="76"/>
      <c r="M90" s="78"/>
      <c r="N90" s="76"/>
      <c r="O90" s="76"/>
      <c r="P90" s="76"/>
      <c r="Q90" s="76"/>
    </row>
    <row r="91" spans="1:17" s="91" customFormat="1" ht="12" customHeight="1" x14ac:dyDescent="0.3">
      <c r="A91" s="76"/>
      <c r="B91" s="223"/>
      <c r="C91" s="76"/>
      <c r="D91" s="76"/>
      <c r="E91" s="76"/>
      <c r="F91" s="76"/>
      <c r="G91" s="76"/>
      <c r="H91" s="76"/>
      <c r="I91" s="76"/>
      <c r="J91" s="214"/>
      <c r="K91" s="157"/>
      <c r="L91" s="76"/>
      <c r="M91" s="78"/>
      <c r="N91" s="76"/>
      <c r="O91" s="76"/>
      <c r="P91" s="76"/>
      <c r="Q91" s="76"/>
    </row>
    <row r="92" spans="1:17" s="91" customFormat="1" ht="12" customHeight="1" x14ac:dyDescent="0.3">
      <c r="A92" s="76"/>
      <c r="B92" s="223"/>
      <c r="C92" s="76"/>
      <c r="D92" s="76"/>
      <c r="E92" s="76"/>
      <c r="F92" s="76"/>
      <c r="G92" s="76"/>
      <c r="H92" s="76"/>
      <c r="I92" s="76"/>
      <c r="J92" s="214"/>
      <c r="K92" s="157"/>
      <c r="L92" s="76"/>
      <c r="M92" s="78"/>
      <c r="N92" s="76"/>
      <c r="O92" s="76"/>
      <c r="P92" s="76"/>
      <c r="Q92" s="76"/>
    </row>
    <row r="93" spans="1:17" s="91" customFormat="1" ht="12" customHeight="1" x14ac:dyDescent="0.3">
      <c r="A93" s="76"/>
      <c r="B93" s="223"/>
      <c r="C93" s="76"/>
      <c r="D93" s="76"/>
      <c r="E93" s="76"/>
      <c r="F93" s="76"/>
      <c r="G93" s="76"/>
      <c r="H93" s="76"/>
      <c r="I93" s="76"/>
      <c r="J93" s="214"/>
      <c r="K93" s="157"/>
      <c r="L93" s="76"/>
      <c r="M93" s="78"/>
      <c r="N93" s="76"/>
      <c r="O93" s="76"/>
      <c r="P93" s="76"/>
      <c r="Q93" s="76"/>
    </row>
    <row r="94" spans="1:17" s="91" customFormat="1" ht="12" customHeight="1" x14ac:dyDescent="0.3">
      <c r="A94" s="76"/>
      <c r="B94" s="223"/>
      <c r="C94" s="76"/>
      <c r="D94" s="76"/>
      <c r="E94" s="76"/>
      <c r="F94" s="76"/>
      <c r="G94" s="76"/>
      <c r="H94" s="76"/>
      <c r="I94" s="76"/>
      <c r="J94" s="214"/>
      <c r="K94" s="157"/>
      <c r="L94" s="76"/>
      <c r="M94" s="78"/>
      <c r="N94" s="76"/>
      <c r="O94" s="76"/>
      <c r="P94" s="76"/>
      <c r="Q94" s="76"/>
    </row>
    <row r="95" spans="1:17" s="91" customFormat="1" ht="12" customHeight="1" x14ac:dyDescent="0.3">
      <c r="A95" s="76"/>
      <c r="B95" s="223"/>
      <c r="C95" s="76"/>
      <c r="D95" s="76"/>
      <c r="E95" s="76"/>
      <c r="F95" s="76"/>
      <c r="G95" s="76"/>
      <c r="H95" s="76"/>
      <c r="I95" s="76"/>
      <c r="J95" s="214"/>
      <c r="K95" s="157"/>
      <c r="L95" s="76"/>
      <c r="M95" s="78"/>
      <c r="N95" s="76"/>
      <c r="O95" s="76"/>
      <c r="P95" s="76"/>
      <c r="Q95" s="76"/>
    </row>
    <row r="96" spans="1:17" s="91" customFormat="1" ht="12" customHeight="1" x14ac:dyDescent="0.3">
      <c r="A96" s="76"/>
      <c r="B96" s="223"/>
      <c r="C96" s="76"/>
      <c r="D96" s="76"/>
      <c r="E96" s="76"/>
      <c r="F96" s="76"/>
      <c r="G96" s="76"/>
      <c r="H96" s="76"/>
      <c r="I96" s="76"/>
      <c r="J96" s="214"/>
      <c r="K96" s="157"/>
      <c r="L96" s="76"/>
      <c r="M96" s="78"/>
      <c r="N96" s="76"/>
      <c r="O96" s="76"/>
      <c r="P96" s="76"/>
      <c r="Q96" s="76"/>
    </row>
    <row r="97" spans="1:17" s="91" customFormat="1" ht="12" customHeight="1" x14ac:dyDescent="0.3">
      <c r="A97" s="76"/>
      <c r="B97" s="223"/>
      <c r="C97" s="76"/>
      <c r="D97" s="76"/>
      <c r="E97" s="76"/>
      <c r="F97" s="76"/>
      <c r="G97" s="76"/>
      <c r="H97" s="76"/>
      <c r="I97" s="76"/>
      <c r="J97" s="214"/>
      <c r="K97" s="157"/>
      <c r="L97" s="76"/>
      <c r="M97" s="78"/>
      <c r="N97" s="76"/>
      <c r="O97" s="76"/>
      <c r="P97" s="76"/>
      <c r="Q97" s="76"/>
    </row>
    <row r="98" spans="1:17" s="91" customFormat="1" ht="12" customHeight="1" x14ac:dyDescent="0.3">
      <c r="A98" s="76"/>
      <c r="B98" s="223"/>
      <c r="C98" s="76"/>
      <c r="D98" s="76"/>
      <c r="E98" s="76"/>
      <c r="F98" s="76"/>
      <c r="G98" s="76"/>
      <c r="H98" s="76"/>
      <c r="I98" s="76"/>
      <c r="J98" s="214"/>
      <c r="K98" s="157"/>
      <c r="L98" s="76"/>
      <c r="M98" s="78"/>
      <c r="N98" s="76"/>
      <c r="O98" s="76"/>
      <c r="P98" s="76"/>
      <c r="Q98" s="76"/>
    </row>
    <row r="99" spans="1:17" s="91" customFormat="1" ht="12" customHeight="1" x14ac:dyDescent="0.3">
      <c r="A99" s="76"/>
      <c r="B99" s="223"/>
      <c r="C99" s="76"/>
      <c r="D99" s="76"/>
      <c r="E99" s="76"/>
      <c r="F99" s="76"/>
      <c r="G99" s="76"/>
      <c r="H99" s="76"/>
      <c r="I99" s="76"/>
      <c r="J99" s="214"/>
      <c r="K99" s="157"/>
      <c r="L99" s="76"/>
      <c r="M99" s="78"/>
      <c r="N99" s="76"/>
      <c r="O99" s="76"/>
      <c r="P99" s="76"/>
      <c r="Q99" s="76"/>
    </row>
    <row r="100" spans="1:17" s="91" customFormat="1" ht="12" customHeight="1" x14ac:dyDescent="0.3">
      <c r="A100" s="76"/>
      <c r="B100" s="223"/>
      <c r="C100" s="76"/>
      <c r="D100" s="76"/>
      <c r="E100" s="76"/>
      <c r="F100" s="76"/>
      <c r="G100" s="76"/>
      <c r="H100" s="76"/>
      <c r="I100" s="76"/>
      <c r="J100" s="214"/>
      <c r="K100" s="157"/>
      <c r="L100" s="76"/>
      <c r="M100" s="78"/>
      <c r="N100" s="76"/>
      <c r="O100" s="76"/>
      <c r="P100" s="76"/>
      <c r="Q100" s="76"/>
    </row>
    <row r="101" spans="1:17" s="91" customFormat="1" ht="12" customHeight="1" x14ac:dyDescent="0.3">
      <c r="A101" s="76"/>
      <c r="B101" s="223"/>
      <c r="C101" s="76"/>
      <c r="D101" s="76"/>
      <c r="E101" s="76"/>
      <c r="F101" s="76"/>
      <c r="G101" s="76"/>
      <c r="H101" s="76"/>
      <c r="I101" s="76"/>
      <c r="J101" s="214"/>
      <c r="K101" s="157"/>
      <c r="L101" s="76"/>
      <c r="M101" s="78"/>
      <c r="N101" s="76"/>
      <c r="O101" s="76"/>
      <c r="P101" s="76"/>
      <c r="Q101" s="76"/>
    </row>
    <row r="102" spans="1:17" s="91" customFormat="1" ht="12" customHeight="1" x14ac:dyDescent="0.3">
      <c r="A102" s="76"/>
      <c r="B102" s="223"/>
      <c r="C102" s="76"/>
      <c r="D102" s="76"/>
      <c r="E102" s="76"/>
      <c r="F102" s="76"/>
      <c r="G102" s="76"/>
      <c r="H102" s="76"/>
      <c r="I102" s="76"/>
      <c r="J102" s="214"/>
      <c r="K102" s="157"/>
      <c r="L102" s="76"/>
      <c r="M102" s="78"/>
      <c r="N102" s="76"/>
      <c r="O102" s="76"/>
      <c r="P102" s="76"/>
      <c r="Q102" s="76"/>
    </row>
    <row r="103" spans="1:17" s="91" customFormat="1" ht="12" customHeight="1" x14ac:dyDescent="0.3">
      <c r="A103" s="76"/>
      <c r="B103" s="223"/>
      <c r="C103" s="76"/>
      <c r="D103" s="76"/>
      <c r="E103" s="76"/>
      <c r="F103" s="76"/>
      <c r="G103" s="76"/>
      <c r="H103" s="76"/>
      <c r="I103" s="76"/>
      <c r="J103" s="214"/>
      <c r="K103" s="157"/>
      <c r="L103" s="76"/>
      <c r="M103" s="78"/>
      <c r="N103" s="76"/>
      <c r="O103" s="76"/>
      <c r="P103" s="76"/>
      <c r="Q103" s="76"/>
    </row>
    <row r="104" spans="1:17" s="91" customFormat="1" ht="12" customHeight="1" x14ac:dyDescent="0.3">
      <c r="A104" s="76"/>
      <c r="B104" s="223"/>
      <c r="C104" s="76"/>
      <c r="D104" s="76"/>
      <c r="E104" s="76"/>
      <c r="F104" s="76"/>
      <c r="G104" s="76"/>
      <c r="H104" s="76"/>
      <c r="I104" s="76"/>
      <c r="J104" s="214"/>
      <c r="K104" s="157"/>
      <c r="L104" s="76"/>
      <c r="M104" s="78"/>
      <c r="N104" s="76"/>
      <c r="O104" s="76"/>
      <c r="P104" s="76"/>
      <c r="Q104" s="76"/>
    </row>
    <row r="105" spans="1:17" s="91" customFormat="1" ht="12" customHeight="1" x14ac:dyDescent="0.3">
      <c r="A105" s="76"/>
      <c r="B105" s="223"/>
      <c r="C105" s="76"/>
      <c r="D105" s="76"/>
      <c r="E105" s="76"/>
      <c r="F105" s="76"/>
      <c r="G105" s="76"/>
      <c r="H105" s="76"/>
      <c r="I105" s="76"/>
      <c r="J105" s="214"/>
      <c r="K105" s="157"/>
      <c r="L105" s="76"/>
      <c r="M105" s="78"/>
      <c r="N105" s="76"/>
      <c r="O105" s="76"/>
      <c r="P105" s="76"/>
      <c r="Q105" s="76"/>
    </row>
    <row r="106" spans="1:17" s="91" customFormat="1" ht="12" customHeight="1" x14ac:dyDescent="0.3">
      <c r="A106" s="76"/>
      <c r="B106" s="223"/>
      <c r="C106" s="76"/>
      <c r="D106" s="76"/>
      <c r="E106" s="76"/>
      <c r="F106" s="76"/>
      <c r="G106" s="76"/>
      <c r="H106" s="76"/>
      <c r="I106" s="76"/>
      <c r="J106" s="214"/>
      <c r="K106" s="157"/>
      <c r="L106" s="76"/>
      <c r="M106" s="78"/>
      <c r="N106" s="76"/>
      <c r="O106" s="76"/>
      <c r="P106" s="76"/>
      <c r="Q106" s="76"/>
    </row>
    <row r="107" spans="1:17" s="91" customFormat="1" ht="12" customHeight="1" x14ac:dyDescent="0.3">
      <c r="A107" s="76"/>
      <c r="B107" s="223"/>
      <c r="C107" s="76"/>
      <c r="D107" s="76"/>
      <c r="E107" s="76"/>
      <c r="F107" s="76"/>
      <c r="G107" s="76"/>
      <c r="H107" s="76"/>
      <c r="I107" s="76"/>
      <c r="J107" s="214"/>
      <c r="K107" s="157"/>
      <c r="L107" s="76"/>
      <c r="M107" s="78"/>
      <c r="N107" s="76"/>
      <c r="O107" s="76"/>
      <c r="P107" s="76"/>
      <c r="Q107" s="76"/>
    </row>
    <row r="108" spans="1:17" s="91" customFormat="1" ht="12" customHeight="1" x14ac:dyDescent="0.3">
      <c r="A108" s="76"/>
      <c r="B108" s="223"/>
      <c r="C108" s="76"/>
      <c r="D108" s="76"/>
      <c r="E108" s="76"/>
      <c r="F108" s="76"/>
      <c r="G108" s="76"/>
      <c r="H108" s="76"/>
      <c r="I108" s="76"/>
      <c r="J108" s="214"/>
      <c r="K108" s="157"/>
      <c r="L108" s="76"/>
      <c r="M108" s="78"/>
      <c r="N108" s="76"/>
      <c r="O108" s="76"/>
      <c r="P108" s="76"/>
      <c r="Q108" s="76"/>
    </row>
    <row r="109" spans="1:17" s="91" customFormat="1" ht="12" customHeight="1" x14ac:dyDescent="0.3">
      <c r="A109" s="76"/>
      <c r="B109" s="223"/>
      <c r="C109" s="76"/>
      <c r="D109" s="76"/>
      <c r="E109" s="76"/>
      <c r="F109" s="76"/>
      <c r="G109" s="76"/>
      <c r="H109" s="76"/>
      <c r="I109" s="76"/>
      <c r="J109" s="214"/>
      <c r="K109" s="157"/>
      <c r="L109" s="76"/>
      <c r="M109" s="78"/>
      <c r="N109" s="76"/>
      <c r="O109" s="76"/>
      <c r="P109" s="76"/>
      <c r="Q109" s="76"/>
    </row>
    <row r="110" spans="1:17" s="91" customFormat="1" ht="12" customHeight="1" x14ac:dyDescent="0.3">
      <c r="A110" s="76"/>
      <c r="B110" s="223"/>
      <c r="C110" s="76"/>
      <c r="D110" s="76"/>
      <c r="E110" s="76"/>
      <c r="F110" s="76"/>
      <c r="G110" s="76"/>
      <c r="H110" s="76"/>
      <c r="I110" s="76"/>
      <c r="J110" s="214"/>
      <c r="K110" s="157"/>
      <c r="L110" s="76"/>
      <c r="M110" s="78"/>
      <c r="N110" s="76"/>
      <c r="O110" s="76"/>
      <c r="P110" s="76"/>
      <c r="Q110" s="76"/>
    </row>
    <row r="111" spans="1:17" s="91" customFormat="1" ht="12" customHeight="1" x14ac:dyDescent="0.3">
      <c r="A111" s="76"/>
      <c r="B111" s="223"/>
      <c r="C111" s="76"/>
      <c r="D111" s="76"/>
      <c r="E111" s="76"/>
      <c r="F111" s="76"/>
      <c r="G111" s="76"/>
      <c r="H111" s="76"/>
      <c r="I111" s="76"/>
      <c r="J111" s="214"/>
      <c r="K111" s="157"/>
      <c r="L111" s="76"/>
      <c r="M111" s="78"/>
      <c r="N111" s="76"/>
      <c r="O111" s="76"/>
      <c r="P111" s="76"/>
      <c r="Q111" s="76"/>
    </row>
    <row r="112" spans="1:17" s="91" customFormat="1" ht="12" customHeight="1" x14ac:dyDescent="0.3">
      <c r="A112" s="76"/>
      <c r="B112" s="223"/>
      <c r="C112" s="76"/>
      <c r="D112" s="76"/>
      <c r="E112" s="76"/>
      <c r="F112" s="76"/>
      <c r="G112" s="76"/>
      <c r="H112" s="76"/>
      <c r="I112" s="76"/>
      <c r="J112" s="214"/>
      <c r="K112" s="157"/>
      <c r="L112" s="76"/>
      <c r="M112" s="78"/>
      <c r="N112" s="76"/>
      <c r="O112" s="76"/>
      <c r="P112" s="76"/>
      <c r="Q112" s="76"/>
    </row>
    <row r="113" spans="1:17" s="91" customFormat="1" ht="12" customHeight="1" x14ac:dyDescent="0.3">
      <c r="A113" s="76"/>
      <c r="B113" s="223"/>
      <c r="C113" s="76"/>
      <c r="D113" s="76"/>
      <c r="E113" s="76"/>
      <c r="F113" s="76"/>
      <c r="G113" s="76"/>
      <c r="H113" s="76"/>
      <c r="I113" s="76"/>
      <c r="J113" s="214"/>
      <c r="K113" s="157"/>
      <c r="L113" s="76"/>
      <c r="M113" s="78"/>
      <c r="N113" s="76"/>
      <c r="O113" s="76"/>
      <c r="P113" s="76"/>
      <c r="Q113" s="76"/>
    </row>
    <row r="114" spans="1:17" s="91" customFormat="1" ht="12" customHeight="1" x14ac:dyDescent="0.3">
      <c r="A114" s="76"/>
      <c r="B114" s="223"/>
      <c r="C114" s="76"/>
      <c r="D114" s="76"/>
      <c r="E114" s="76"/>
      <c r="F114" s="76"/>
      <c r="G114" s="76"/>
      <c r="H114" s="76"/>
      <c r="I114" s="76"/>
      <c r="J114" s="214"/>
      <c r="K114" s="157"/>
      <c r="L114" s="76"/>
      <c r="M114" s="78"/>
      <c r="N114" s="76"/>
      <c r="O114" s="76"/>
      <c r="P114" s="76"/>
      <c r="Q114" s="76"/>
    </row>
    <row r="115" spans="1:17" s="91" customFormat="1" ht="12" customHeight="1" x14ac:dyDescent="0.3">
      <c r="A115" s="76"/>
      <c r="B115" s="223"/>
      <c r="C115" s="76"/>
      <c r="D115" s="76"/>
      <c r="E115" s="76"/>
      <c r="F115" s="76"/>
      <c r="G115" s="76"/>
      <c r="H115" s="76"/>
      <c r="I115" s="76"/>
      <c r="J115" s="214"/>
      <c r="K115" s="157"/>
      <c r="L115" s="76"/>
      <c r="M115" s="78"/>
      <c r="N115" s="76"/>
      <c r="O115" s="76"/>
      <c r="P115" s="76"/>
      <c r="Q115" s="76"/>
    </row>
    <row r="116" spans="1:17" s="91" customFormat="1" ht="12" customHeight="1" x14ac:dyDescent="0.3">
      <c r="A116" s="76"/>
      <c r="B116" s="223"/>
      <c r="C116" s="76"/>
      <c r="D116" s="76"/>
      <c r="E116" s="76"/>
      <c r="F116" s="76"/>
      <c r="G116" s="76"/>
      <c r="H116" s="76"/>
      <c r="I116" s="76"/>
      <c r="J116" s="214"/>
      <c r="K116" s="157"/>
      <c r="L116" s="76"/>
      <c r="M116" s="78"/>
      <c r="N116" s="76"/>
      <c r="O116" s="76"/>
      <c r="P116" s="76"/>
      <c r="Q116" s="76"/>
    </row>
    <row r="117" spans="1:17" s="91" customFormat="1" ht="12" customHeight="1" x14ac:dyDescent="0.3">
      <c r="A117" s="76"/>
      <c r="B117" s="223"/>
      <c r="C117" s="76"/>
      <c r="D117" s="76"/>
      <c r="E117" s="76"/>
      <c r="F117" s="76"/>
      <c r="G117" s="76"/>
      <c r="H117" s="76"/>
      <c r="I117" s="76"/>
      <c r="J117" s="214"/>
      <c r="K117" s="157"/>
      <c r="L117" s="76"/>
      <c r="M117" s="78"/>
      <c r="N117" s="76"/>
      <c r="O117" s="76"/>
      <c r="P117" s="76"/>
      <c r="Q117" s="76"/>
    </row>
    <row r="118" spans="1:17" s="91" customFormat="1" ht="12" customHeight="1" x14ac:dyDescent="0.3">
      <c r="A118" s="76"/>
      <c r="B118" s="223"/>
      <c r="C118" s="76"/>
      <c r="D118" s="76"/>
      <c r="E118" s="76"/>
      <c r="F118" s="76"/>
      <c r="G118" s="76"/>
      <c r="H118" s="76"/>
      <c r="I118" s="76"/>
      <c r="J118" s="214"/>
      <c r="K118" s="157"/>
      <c r="L118" s="76"/>
      <c r="M118" s="78"/>
      <c r="N118" s="76"/>
      <c r="O118" s="76"/>
      <c r="P118" s="76"/>
      <c r="Q118" s="76"/>
    </row>
    <row r="119" spans="1:17" s="91" customFormat="1" ht="12" customHeight="1" x14ac:dyDescent="0.3">
      <c r="A119" s="76"/>
      <c r="B119" s="223"/>
      <c r="C119" s="76"/>
      <c r="D119" s="76"/>
      <c r="E119" s="76"/>
      <c r="F119" s="76"/>
      <c r="G119" s="76"/>
      <c r="H119" s="76"/>
      <c r="I119" s="76"/>
      <c r="J119" s="214"/>
      <c r="K119" s="157"/>
      <c r="L119" s="76"/>
      <c r="M119" s="78"/>
      <c r="N119" s="76"/>
      <c r="O119" s="76"/>
      <c r="P119" s="76"/>
      <c r="Q119" s="76"/>
    </row>
    <row r="120" spans="1:17" s="91" customFormat="1" ht="12" customHeight="1" x14ac:dyDescent="0.3">
      <c r="A120" s="76"/>
      <c r="B120" s="223"/>
      <c r="C120" s="76"/>
      <c r="D120" s="76"/>
      <c r="E120" s="76"/>
      <c r="F120" s="76"/>
      <c r="G120" s="76"/>
      <c r="H120" s="76"/>
      <c r="I120" s="76"/>
      <c r="J120" s="214"/>
      <c r="K120" s="157"/>
      <c r="L120" s="76"/>
      <c r="M120" s="78"/>
      <c r="N120" s="76"/>
      <c r="O120" s="76"/>
      <c r="P120" s="76"/>
      <c r="Q120" s="76"/>
    </row>
    <row r="121" spans="1:17" s="91" customFormat="1" ht="12" customHeight="1" x14ac:dyDescent="0.3">
      <c r="A121" s="76"/>
      <c r="B121" s="223"/>
      <c r="C121" s="76"/>
      <c r="D121" s="76"/>
      <c r="E121" s="76"/>
      <c r="F121" s="76"/>
      <c r="G121" s="76"/>
      <c r="H121" s="76"/>
      <c r="I121" s="76"/>
      <c r="J121" s="214"/>
      <c r="K121" s="157"/>
      <c r="L121" s="76"/>
      <c r="M121" s="78"/>
      <c r="N121" s="76"/>
      <c r="O121" s="76"/>
      <c r="P121" s="76"/>
      <c r="Q121" s="76"/>
    </row>
    <row r="122" spans="1:17" s="91" customFormat="1" ht="12" customHeight="1" x14ac:dyDescent="0.3">
      <c r="A122" s="76"/>
      <c r="B122" s="223"/>
      <c r="C122" s="76"/>
      <c r="D122" s="76"/>
      <c r="E122" s="76"/>
      <c r="F122" s="76"/>
      <c r="G122" s="76"/>
      <c r="H122" s="76"/>
      <c r="I122" s="76"/>
      <c r="J122" s="214"/>
      <c r="K122" s="157"/>
      <c r="L122" s="76"/>
      <c r="M122" s="78"/>
      <c r="N122" s="76"/>
      <c r="O122" s="76"/>
      <c r="P122" s="76"/>
      <c r="Q122" s="76"/>
    </row>
    <row r="123" spans="1:17" s="91" customFormat="1" ht="12" customHeight="1" x14ac:dyDescent="0.3">
      <c r="A123" s="76"/>
      <c r="B123" s="223"/>
      <c r="C123" s="76"/>
      <c r="D123" s="76"/>
      <c r="E123" s="76"/>
      <c r="F123" s="76"/>
      <c r="G123" s="76"/>
      <c r="H123" s="76"/>
      <c r="I123" s="76"/>
      <c r="J123" s="214"/>
      <c r="K123" s="157"/>
      <c r="L123" s="76"/>
      <c r="M123" s="78"/>
      <c r="N123" s="76"/>
      <c r="O123" s="76"/>
      <c r="P123" s="76"/>
      <c r="Q123" s="76"/>
    </row>
    <row r="124" spans="1:17" s="91" customFormat="1" ht="12" customHeight="1" x14ac:dyDescent="0.3">
      <c r="A124" s="76"/>
      <c r="B124" s="223"/>
      <c r="C124" s="76"/>
      <c r="D124" s="76"/>
      <c r="E124" s="76"/>
      <c r="F124" s="76"/>
      <c r="G124" s="76"/>
      <c r="H124" s="76"/>
      <c r="I124" s="76"/>
      <c r="J124" s="214"/>
      <c r="K124" s="157"/>
      <c r="L124" s="76"/>
      <c r="M124" s="78"/>
      <c r="N124" s="76"/>
      <c r="O124" s="76"/>
      <c r="P124" s="76"/>
      <c r="Q124" s="76"/>
    </row>
    <row r="125" spans="1:17" s="91" customFormat="1" ht="12" customHeight="1" x14ac:dyDescent="0.3">
      <c r="A125" s="76"/>
      <c r="B125" s="223"/>
      <c r="C125" s="76"/>
      <c r="D125" s="76"/>
      <c r="E125" s="76"/>
      <c r="F125" s="76"/>
      <c r="G125" s="76"/>
      <c r="H125" s="76"/>
      <c r="I125" s="76"/>
      <c r="J125" s="214"/>
      <c r="K125" s="157"/>
      <c r="L125" s="76"/>
      <c r="M125" s="78"/>
      <c r="N125" s="76"/>
      <c r="O125" s="76"/>
      <c r="P125" s="76"/>
      <c r="Q125" s="76"/>
    </row>
    <row r="126" spans="1:17" s="91" customFormat="1" ht="12" customHeight="1" x14ac:dyDescent="0.3">
      <c r="A126" s="76"/>
      <c r="B126" s="223"/>
      <c r="C126" s="76"/>
      <c r="D126" s="76"/>
      <c r="E126" s="76"/>
      <c r="F126" s="76"/>
      <c r="G126" s="76"/>
      <c r="H126" s="76"/>
      <c r="I126" s="76"/>
      <c r="J126" s="214"/>
      <c r="K126" s="157"/>
      <c r="L126" s="76"/>
      <c r="M126" s="78"/>
      <c r="N126" s="76"/>
      <c r="O126" s="76"/>
      <c r="P126" s="76"/>
      <c r="Q126" s="76"/>
    </row>
    <row r="127" spans="1:17" s="91" customFormat="1" ht="12" customHeight="1" x14ac:dyDescent="0.3">
      <c r="A127" s="76"/>
      <c r="B127" s="223"/>
      <c r="C127" s="76"/>
      <c r="D127" s="76"/>
      <c r="E127" s="76"/>
      <c r="F127" s="76"/>
      <c r="G127" s="76"/>
      <c r="H127" s="76"/>
      <c r="I127" s="76"/>
      <c r="J127" s="214"/>
      <c r="K127" s="157"/>
      <c r="L127" s="76"/>
      <c r="M127" s="78"/>
      <c r="N127" s="76"/>
      <c r="O127" s="76"/>
      <c r="P127" s="76"/>
      <c r="Q127" s="76"/>
    </row>
    <row r="128" spans="1:17" s="91" customFormat="1" ht="12" customHeight="1" x14ac:dyDescent="0.3">
      <c r="A128" s="76"/>
      <c r="B128" s="223"/>
      <c r="C128" s="76"/>
      <c r="D128" s="76"/>
      <c r="E128" s="76"/>
      <c r="F128" s="76"/>
      <c r="G128" s="76"/>
      <c r="H128" s="76"/>
      <c r="I128" s="76"/>
      <c r="J128" s="214"/>
      <c r="K128" s="157"/>
      <c r="L128" s="76"/>
      <c r="M128" s="78"/>
      <c r="N128" s="76"/>
      <c r="O128" s="76"/>
      <c r="P128" s="76"/>
      <c r="Q128" s="76"/>
    </row>
    <row r="129" spans="1:17" s="91" customFormat="1" ht="12" customHeight="1" x14ac:dyDescent="0.3">
      <c r="A129" s="76"/>
      <c r="B129" s="223"/>
      <c r="C129" s="76"/>
      <c r="D129" s="76"/>
      <c r="E129" s="76"/>
      <c r="F129" s="76"/>
      <c r="G129" s="76"/>
      <c r="H129" s="76"/>
      <c r="I129" s="76"/>
      <c r="J129" s="214"/>
      <c r="K129" s="157"/>
      <c r="L129" s="76"/>
      <c r="M129" s="78"/>
      <c r="N129" s="76"/>
      <c r="O129" s="76"/>
      <c r="P129" s="76"/>
      <c r="Q129" s="76"/>
    </row>
    <row r="130" spans="1:17" s="91" customFormat="1" ht="12" customHeight="1" x14ac:dyDescent="0.3">
      <c r="A130" s="76"/>
      <c r="B130" s="223"/>
      <c r="C130" s="76"/>
      <c r="D130" s="76"/>
      <c r="E130" s="76"/>
      <c r="F130" s="76"/>
      <c r="G130" s="76"/>
      <c r="H130" s="76"/>
      <c r="I130" s="76"/>
      <c r="J130" s="214"/>
      <c r="K130" s="157"/>
      <c r="L130" s="76"/>
      <c r="M130" s="78"/>
      <c r="N130" s="76"/>
      <c r="O130" s="76"/>
      <c r="P130" s="76"/>
      <c r="Q130" s="76"/>
    </row>
    <row r="131" spans="1:17" s="91" customFormat="1" ht="12" customHeight="1" x14ac:dyDescent="0.3">
      <c r="A131" s="76"/>
      <c r="B131" s="223"/>
      <c r="C131" s="76"/>
      <c r="D131" s="76"/>
      <c r="E131" s="76"/>
      <c r="F131" s="76"/>
      <c r="G131" s="76"/>
      <c r="H131" s="76"/>
      <c r="I131" s="76"/>
      <c r="J131" s="214"/>
      <c r="K131" s="157"/>
      <c r="L131" s="76"/>
      <c r="M131" s="78"/>
      <c r="N131" s="76"/>
      <c r="O131" s="76"/>
      <c r="P131" s="76"/>
      <c r="Q131" s="76"/>
    </row>
    <row r="132" spans="1:17" s="91" customFormat="1" ht="12" customHeight="1" x14ac:dyDescent="0.3">
      <c r="A132" s="76"/>
      <c r="B132" s="223"/>
      <c r="C132" s="76"/>
      <c r="D132" s="76"/>
      <c r="E132" s="76"/>
      <c r="F132" s="76"/>
      <c r="G132" s="76"/>
      <c r="H132" s="76"/>
      <c r="I132" s="76"/>
      <c r="J132" s="214"/>
      <c r="K132" s="157"/>
      <c r="L132" s="76"/>
      <c r="M132" s="78"/>
      <c r="N132" s="76"/>
      <c r="O132" s="76"/>
      <c r="P132" s="76"/>
      <c r="Q132" s="76"/>
    </row>
    <row r="133" spans="1:17" s="91" customFormat="1" ht="12" customHeight="1" x14ac:dyDescent="0.3">
      <c r="A133" s="76"/>
      <c r="B133" s="223"/>
      <c r="C133" s="76"/>
      <c r="D133" s="76"/>
      <c r="E133" s="76"/>
      <c r="F133" s="76"/>
      <c r="G133" s="76"/>
      <c r="H133" s="76"/>
      <c r="I133" s="76"/>
      <c r="J133" s="214"/>
      <c r="K133" s="157"/>
      <c r="L133" s="76"/>
      <c r="M133" s="78"/>
      <c r="N133" s="76"/>
      <c r="O133" s="76"/>
      <c r="P133" s="76"/>
      <c r="Q133" s="76"/>
    </row>
    <row r="134" spans="1:17" s="91" customFormat="1" ht="12" customHeight="1" x14ac:dyDescent="0.3">
      <c r="A134" s="76"/>
      <c r="B134" s="223"/>
      <c r="C134" s="76"/>
      <c r="D134" s="76"/>
      <c r="E134" s="76"/>
      <c r="F134" s="76"/>
      <c r="G134" s="76"/>
      <c r="H134" s="76"/>
      <c r="I134" s="76"/>
      <c r="J134" s="214"/>
      <c r="K134" s="157"/>
      <c r="L134" s="76"/>
      <c r="M134" s="78"/>
      <c r="N134" s="76"/>
      <c r="O134" s="76"/>
      <c r="P134" s="76"/>
      <c r="Q134" s="76"/>
    </row>
    <row r="135" spans="1:17" s="91" customFormat="1" ht="12" customHeight="1" x14ac:dyDescent="0.3">
      <c r="A135" s="76"/>
      <c r="B135" s="223"/>
      <c r="C135" s="76"/>
      <c r="D135" s="76"/>
      <c r="E135" s="76"/>
      <c r="F135" s="76"/>
      <c r="G135" s="76"/>
      <c r="H135" s="76"/>
      <c r="I135" s="76"/>
      <c r="J135" s="214"/>
      <c r="K135" s="157"/>
      <c r="L135" s="76"/>
      <c r="M135" s="78"/>
      <c r="N135" s="76"/>
      <c r="O135" s="76"/>
      <c r="P135" s="76"/>
      <c r="Q135" s="76"/>
    </row>
    <row r="136" spans="1:17" s="91" customFormat="1" ht="12" customHeight="1" x14ac:dyDescent="0.3">
      <c r="A136" s="76"/>
      <c r="B136" s="223"/>
      <c r="C136" s="76"/>
      <c r="D136" s="76"/>
      <c r="E136" s="76"/>
      <c r="F136" s="76"/>
      <c r="G136" s="76"/>
      <c r="H136" s="76"/>
      <c r="I136" s="76"/>
      <c r="J136" s="214"/>
      <c r="K136" s="157"/>
      <c r="L136" s="76"/>
      <c r="M136" s="78"/>
      <c r="N136" s="76"/>
      <c r="O136" s="76"/>
      <c r="P136" s="76"/>
      <c r="Q136" s="76"/>
    </row>
    <row r="137" spans="1:17" s="91" customFormat="1" ht="12" customHeight="1" x14ac:dyDescent="0.3">
      <c r="A137" s="76"/>
      <c r="B137" s="223"/>
      <c r="C137" s="76"/>
      <c r="D137" s="76"/>
      <c r="E137" s="76"/>
      <c r="F137" s="76"/>
      <c r="G137" s="76"/>
      <c r="H137" s="76"/>
      <c r="I137" s="76"/>
      <c r="J137" s="214"/>
      <c r="K137" s="157"/>
      <c r="L137" s="76"/>
      <c r="M137" s="78"/>
      <c r="N137" s="76"/>
      <c r="O137" s="76"/>
      <c r="P137" s="76"/>
      <c r="Q137" s="76"/>
    </row>
    <row r="138" spans="1:17" s="91" customFormat="1" ht="12" customHeight="1" x14ac:dyDescent="0.3">
      <c r="A138" s="76"/>
      <c r="B138" s="223"/>
      <c r="C138" s="76"/>
      <c r="D138" s="76"/>
      <c r="E138" s="76"/>
      <c r="F138" s="76"/>
      <c r="G138" s="76"/>
      <c r="H138" s="76"/>
      <c r="I138" s="76"/>
      <c r="J138" s="214"/>
      <c r="K138" s="157"/>
      <c r="L138" s="76"/>
      <c r="M138" s="78"/>
      <c r="N138" s="76"/>
      <c r="O138" s="76"/>
      <c r="P138" s="76"/>
      <c r="Q138" s="76"/>
    </row>
    <row r="139" spans="1:17" s="91" customFormat="1" ht="12" customHeight="1" x14ac:dyDescent="0.3">
      <c r="A139" s="76"/>
      <c r="B139" s="223"/>
      <c r="C139" s="76"/>
      <c r="D139" s="76"/>
      <c r="E139" s="76"/>
      <c r="F139" s="76"/>
      <c r="G139" s="76"/>
      <c r="H139" s="76"/>
      <c r="I139" s="76"/>
      <c r="J139" s="214"/>
      <c r="K139" s="157"/>
      <c r="L139" s="76"/>
      <c r="M139" s="78"/>
      <c r="N139" s="76"/>
      <c r="O139" s="76"/>
      <c r="P139" s="76"/>
      <c r="Q139" s="76"/>
    </row>
    <row r="140" spans="1:17" s="91" customFormat="1" ht="12" customHeight="1" x14ac:dyDescent="0.3">
      <c r="A140" s="76"/>
      <c r="B140" s="223"/>
      <c r="C140" s="76"/>
      <c r="D140" s="76"/>
      <c r="E140" s="76"/>
      <c r="F140" s="76"/>
      <c r="G140" s="76"/>
      <c r="H140" s="76"/>
      <c r="I140" s="76"/>
      <c r="J140" s="214"/>
      <c r="K140" s="157"/>
      <c r="L140" s="76"/>
      <c r="M140" s="78"/>
      <c r="N140" s="76"/>
      <c r="O140" s="76"/>
      <c r="P140" s="76"/>
      <c r="Q140" s="76"/>
    </row>
    <row r="141" spans="1:17" s="91" customFormat="1" ht="12" customHeight="1" x14ac:dyDescent="0.3">
      <c r="A141" s="76"/>
      <c r="B141" s="223"/>
      <c r="C141" s="76"/>
      <c r="D141" s="76"/>
      <c r="E141" s="76"/>
      <c r="F141" s="76"/>
      <c r="G141" s="76"/>
      <c r="H141" s="76"/>
      <c r="I141" s="76"/>
      <c r="J141" s="214"/>
      <c r="K141" s="157"/>
      <c r="L141" s="76"/>
      <c r="M141" s="78"/>
      <c r="N141" s="76"/>
      <c r="O141" s="76"/>
      <c r="P141" s="76"/>
      <c r="Q141" s="76"/>
    </row>
    <row r="142" spans="1:17" s="91" customFormat="1" ht="12" customHeight="1" x14ac:dyDescent="0.3">
      <c r="A142" s="76"/>
      <c r="B142" s="223"/>
      <c r="C142" s="76"/>
      <c r="D142" s="76"/>
      <c r="E142" s="76"/>
      <c r="F142" s="76"/>
      <c r="G142" s="76"/>
      <c r="H142" s="76"/>
      <c r="I142" s="76"/>
      <c r="J142" s="214"/>
      <c r="K142" s="157"/>
      <c r="L142" s="76"/>
      <c r="M142" s="78"/>
      <c r="N142" s="76"/>
      <c r="O142" s="76"/>
      <c r="P142" s="76"/>
      <c r="Q142" s="76"/>
    </row>
    <row r="143" spans="1:17" s="91" customFormat="1" ht="12" customHeight="1" x14ac:dyDescent="0.3">
      <c r="A143" s="76"/>
      <c r="B143" s="223"/>
      <c r="C143" s="76"/>
      <c r="D143" s="76"/>
      <c r="E143" s="76"/>
      <c r="F143" s="76"/>
      <c r="G143" s="76"/>
      <c r="H143" s="76"/>
      <c r="I143" s="76"/>
      <c r="J143" s="214"/>
      <c r="K143" s="157"/>
      <c r="L143" s="76"/>
      <c r="M143" s="78"/>
      <c r="N143" s="76"/>
      <c r="O143" s="76"/>
      <c r="P143" s="76"/>
      <c r="Q143" s="76"/>
    </row>
    <row r="144" spans="1:17" s="91" customFormat="1" ht="12" customHeight="1" x14ac:dyDescent="0.3">
      <c r="A144" s="76"/>
      <c r="B144" s="223"/>
      <c r="C144" s="76"/>
      <c r="D144" s="76"/>
      <c r="E144" s="76"/>
      <c r="F144" s="76"/>
      <c r="G144" s="76"/>
      <c r="H144" s="76"/>
      <c r="I144" s="76"/>
      <c r="J144" s="214"/>
      <c r="K144" s="157"/>
      <c r="L144" s="76"/>
      <c r="M144" s="78"/>
      <c r="N144" s="76"/>
      <c r="O144" s="76"/>
      <c r="P144" s="76"/>
      <c r="Q144" s="76"/>
    </row>
    <row r="145" spans="1:17" s="91" customFormat="1" ht="12" customHeight="1" x14ac:dyDescent="0.3">
      <c r="A145" s="76"/>
      <c r="B145" s="223"/>
      <c r="C145" s="76"/>
      <c r="D145" s="76"/>
      <c r="E145" s="76"/>
      <c r="F145" s="76"/>
      <c r="G145" s="76"/>
      <c r="H145" s="76"/>
      <c r="I145" s="76"/>
      <c r="J145" s="214"/>
      <c r="K145" s="157"/>
      <c r="L145" s="76"/>
      <c r="M145" s="78"/>
      <c r="N145" s="76"/>
      <c r="O145" s="76"/>
      <c r="P145" s="76"/>
      <c r="Q145" s="76"/>
    </row>
    <row r="146" spans="1:17" s="91" customFormat="1" ht="12" customHeight="1" x14ac:dyDescent="0.3">
      <c r="A146" s="76"/>
      <c r="B146" s="223"/>
      <c r="C146" s="76"/>
      <c r="D146" s="76"/>
      <c r="E146" s="76"/>
      <c r="F146" s="76"/>
      <c r="G146" s="76"/>
      <c r="H146" s="76"/>
      <c r="I146" s="76"/>
      <c r="J146" s="214"/>
      <c r="K146" s="157"/>
      <c r="L146" s="76"/>
      <c r="M146" s="78"/>
      <c r="N146" s="76"/>
      <c r="O146" s="76"/>
      <c r="P146" s="76"/>
      <c r="Q146" s="76"/>
    </row>
    <row r="147" spans="1:17" s="91" customFormat="1" ht="12" customHeight="1" x14ac:dyDescent="0.3">
      <c r="A147" s="76"/>
      <c r="B147" s="223"/>
      <c r="C147" s="76"/>
      <c r="D147" s="76"/>
      <c r="E147" s="76"/>
      <c r="F147" s="76"/>
      <c r="G147" s="76"/>
      <c r="H147" s="76"/>
      <c r="I147" s="76"/>
      <c r="J147" s="214"/>
      <c r="K147" s="157"/>
      <c r="L147" s="76"/>
      <c r="M147" s="78"/>
      <c r="N147" s="76"/>
      <c r="O147" s="76"/>
      <c r="P147" s="76"/>
      <c r="Q147" s="76"/>
    </row>
    <row r="148" spans="1:17" s="91" customFormat="1" ht="12" customHeight="1" x14ac:dyDescent="0.3">
      <c r="A148" s="76"/>
      <c r="B148" s="223"/>
      <c r="C148" s="76"/>
      <c r="D148" s="76"/>
      <c r="E148" s="76"/>
      <c r="F148" s="76"/>
      <c r="G148" s="76"/>
      <c r="H148" s="76"/>
      <c r="I148" s="76"/>
      <c r="J148" s="214"/>
      <c r="K148" s="157"/>
      <c r="L148" s="76"/>
      <c r="M148" s="78"/>
      <c r="N148" s="76"/>
      <c r="O148" s="76"/>
      <c r="P148" s="76"/>
      <c r="Q148" s="76"/>
    </row>
    <row r="149" spans="1:17" s="91" customFormat="1" ht="12" customHeight="1" x14ac:dyDescent="0.3">
      <c r="A149" s="76"/>
      <c r="B149" s="223"/>
      <c r="C149" s="76"/>
      <c r="D149" s="76"/>
      <c r="E149" s="76"/>
      <c r="F149" s="76"/>
      <c r="G149" s="76"/>
      <c r="H149" s="76"/>
      <c r="I149" s="76"/>
      <c r="J149" s="214"/>
      <c r="K149" s="157"/>
      <c r="L149" s="76"/>
      <c r="M149" s="78"/>
      <c r="N149" s="76"/>
      <c r="O149" s="76"/>
      <c r="P149" s="76"/>
      <c r="Q149" s="76"/>
    </row>
    <row r="150" spans="1:17" s="91" customFormat="1" ht="12" customHeight="1" x14ac:dyDescent="0.3">
      <c r="A150" s="76"/>
      <c r="B150" s="223"/>
      <c r="C150" s="76"/>
      <c r="D150" s="76"/>
      <c r="E150" s="76"/>
      <c r="F150" s="76"/>
      <c r="G150" s="76"/>
      <c r="H150" s="76"/>
      <c r="I150" s="76"/>
      <c r="J150" s="214"/>
      <c r="K150" s="157"/>
      <c r="L150" s="76"/>
      <c r="M150" s="78"/>
      <c r="N150" s="76"/>
      <c r="O150" s="76"/>
      <c r="P150" s="76"/>
      <c r="Q150" s="76"/>
    </row>
    <row r="151" spans="1:17" s="91" customFormat="1" ht="12" customHeight="1" x14ac:dyDescent="0.3">
      <c r="A151" s="76"/>
      <c r="B151" s="223"/>
      <c r="C151" s="76"/>
      <c r="D151" s="76"/>
      <c r="E151" s="76"/>
      <c r="F151" s="76"/>
      <c r="G151" s="76"/>
      <c r="H151" s="76"/>
      <c r="I151" s="76"/>
      <c r="J151" s="214"/>
      <c r="K151" s="157"/>
      <c r="L151" s="76"/>
      <c r="M151" s="78"/>
      <c r="N151" s="76"/>
      <c r="O151" s="76"/>
      <c r="P151" s="76"/>
      <c r="Q151" s="76"/>
    </row>
    <row r="152" spans="1:17" s="91" customFormat="1" ht="12" customHeight="1" x14ac:dyDescent="0.3">
      <c r="A152" s="76"/>
      <c r="B152" s="223"/>
      <c r="C152" s="76"/>
      <c r="D152" s="76"/>
      <c r="E152" s="76"/>
      <c r="F152" s="76"/>
      <c r="G152" s="76"/>
      <c r="H152" s="76"/>
      <c r="I152" s="76"/>
      <c r="J152" s="214"/>
      <c r="K152" s="157"/>
      <c r="L152" s="76"/>
      <c r="M152" s="78"/>
      <c r="N152" s="76"/>
      <c r="O152" s="76"/>
      <c r="P152" s="76"/>
      <c r="Q152" s="76"/>
    </row>
    <row r="153" spans="1:17" s="91" customFormat="1" ht="12" customHeight="1" x14ac:dyDescent="0.3">
      <c r="A153" s="76"/>
      <c r="B153" s="223"/>
      <c r="C153" s="76"/>
      <c r="D153" s="76"/>
      <c r="E153" s="76"/>
      <c r="F153" s="76"/>
      <c r="G153" s="76"/>
      <c r="H153" s="76"/>
      <c r="I153" s="76"/>
      <c r="J153" s="214"/>
      <c r="K153" s="157"/>
      <c r="L153" s="76"/>
      <c r="M153" s="78"/>
      <c r="N153" s="76"/>
      <c r="O153" s="76"/>
      <c r="P153" s="76"/>
      <c r="Q153" s="76"/>
    </row>
    <row r="154" spans="1:17" s="91" customFormat="1" ht="12" customHeight="1" x14ac:dyDescent="0.3">
      <c r="A154" s="76"/>
      <c r="B154" s="223"/>
      <c r="C154" s="76"/>
      <c r="D154" s="76"/>
      <c r="E154" s="76"/>
      <c r="F154" s="76"/>
      <c r="G154" s="76"/>
      <c r="H154" s="76"/>
      <c r="I154" s="76"/>
      <c r="J154" s="214"/>
      <c r="K154" s="157"/>
      <c r="L154" s="76"/>
      <c r="M154" s="78"/>
      <c r="N154" s="76"/>
      <c r="O154" s="76"/>
      <c r="P154" s="76"/>
      <c r="Q154" s="76"/>
    </row>
    <row r="155" spans="1:17" s="91" customFormat="1" ht="12" customHeight="1" x14ac:dyDescent="0.3">
      <c r="A155" s="76"/>
      <c r="B155" s="223"/>
      <c r="C155" s="76"/>
      <c r="D155" s="76"/>
      <c r="E155" s="76"/>
      <c r="F155" s="76"/>
      <c r="G155" s="76"/>
      <c r="H155" s="76"/>
      <c r="I155" s="76"/>
      <c r="J155" s="214"/>
      <c r="K155" s="157"/>
      <c r="L155" s="76"/>
      <c r="M155" s="78"/>
      <c r="N155" s="76"/>
      <c r="O155" s="76"/>
      <c r="P155" s="76"/>
      <c r="Q155" s="76"/>
    </row>
    <row r="156" spans="1:17" s="91" customFormat="1" ht="12" customHeight="1" x14ac:dyDescent="0.3">
      <c r="A156" s="76"/>
      <c r="B156" s="223"/>
      <c r="C156" s="76"/>
      <c r="D156" s="76"/>
      <c r="E156" s="76"/>
      <c r="F156" s="76"/>
      <c r="G156" s="76"/>
      <c r="H156" s="76"/>
      <c r="I156" s="76"/>
      <c r="J156" s="214"/>
      <c r="K156" s="157"/>
      <c r="L156" s="76"/>
      <c r="M156" s="78"/>
      <c r="N156" s="76"/>
      <c r="O156" s="76"/>
      <c r="P156" s="76"/>
      <c r="Q156" s="76"/>
    </row>
    <row r="157" spans="1:17" s="91" customFormat="1" ht="12" customHeight="1" x14ac:dyDescent="0.3">
      <c r="A157" s="76"/>
      <c r="B157" s="223"/>
      <c r="C157" s="76"/>
      <c r="D157" s="76"/>
      <c r="E157" s="76"/>
      <c r="F157" s="76"/>
      <c r="G157" s="76"/>
      <c r="H157" s="76"/>
      <c r="I157" s="76"/>
      <c r="J157" s="214"/>
      <c r="K157" s="157"/>
      <c r="L157" s="76"/>
      <c r="M157" s="78"/>
      <c r="N157" s="76"/>
      <c r="O157" s="76"/>
      <c r="P157" s="76"/>
      <c r="Q157" s="76"/>
    </row>
    <row r="158" spans="1:17" s="91" customFormat="1" ht="12" customHeight="1" x14ac:dyDescent="0.3">
      <c r="A158" s="76"/>
      <c r="B158" s="223"/>
      <c r="C158" s="76"/>
      <c r="D158" s="76"/>
      <c r="E158" s="76"/>
      <c r="F158" s="76"/>
      <c r="G158" s="76"/>
      <c r="H158" s="76"/>
      <c r="I158" s="76"/>
      <c r="J158" s="214"/>
      <c r="K158" s="157"/>
      <c r="L158" s="76"/>
      <c r="M158" s="78"/>
      <c r="N158" s="76"/>
      <c r="O158" s="76"/>
      <c r="P158" s="76"/>
      <c r="Q158" s="76"/>
    </row>
    <row r="159" spans="1:17" s="91" customFormat="1" ht="12" customHeight="1" x14ac:dyDescent="0.3">
      <c r="A159" s="76"/>
      <c r="B159" s="223"/>
      <c r="C159" s="76"/>
      <c r="D159" s="76"/>
      <c r="E159" s="76"/>
      <c r="F159" s="76"/>
      <c r="G159" s="76"/>
      <c r="H159" s="76"/>
      <c r="I159" s="76"/>
      <c r="J159" s="214"/>
      <c r="K159" s="157"/>
      <c r="L159" s="76"/>
      <c r="M159" s="78"/>
      <c r="N159" s="76"/>
      <c r="O159" s="76"/>
      <c r="P159" s="76"/>
      <c r="Q159" s="76"/>
    </row>
    <row r="160" spans="1:17" s="91" customFormat="1" ht="12" customHeight="1" x14ac:dyDescent="0.3">
      <c r="A160" s="76"/>
      <c r="B160" s="223"/>
      <c r="C160" s="76"/>
      <c r="D160" s="76"/>
      <c r="E160" s="76"/>
      <c r="F160" s="76"/>
      <c r="G160" s="76"/>
      <c r="H160" s="76"/>
      <c r="I160" s="76"/>
      <c r="J160" s="214"/>
      <c r="K160" s="157"/>
      <c r="L160" s="76"/>
      <c r="M160" s="78"/>
      <c r="N160" s="76"/>
      <c r="O160" s="76"/>
      <c r="P160" s="76"/>
      <c r="Q160" s="76"/>
    </row>
    <row r="161" spans="1:17" s="91" customFormat="1" ht="12" customHeight="1" x14ac:dyDescent="0.3">
      <c r="A161" s="76"/>
      <c r="B161" s="223"/>
      <c r="C161" s="76"/>
      <c r="D161" s="76"/>
      <c r="E161" s="76"/>
      <c r="F161" s="76"/>
      <c r="G161" s="76"/>
      <c r="H161" s="76"/>
      <c r="I161" s="76"/>
      <c r="J161" s="214"/>
      <c r="K161" s="157"/>
      <c r="L161" s="76"/>
      <c r="M161" s="78"/>
      <c r="N161" s="76"/>
      <c r="O161" s="76"/>
      <c r="P161" s="76"/>
      <c r="Q161" s="76"/>
    </row>
    <row r="162" spans="1:17" s="91" customFormat="1" ht="12" customHeight="1" x14ac:dyDescent="0.3">
      <c r="A162" s="76"/>
      <c r="B162" s="223"/>
      <c r="C162" s="76"/>
      <c r="D162" s="76"/>
      <c r="E162" s="76"/>
      <c r="F162" s="76"/>
      <c r="G162" s="76"/>
      <c r="H162" s="76"/>
      <c r="I162" s="76"/>
      <c r="J162" s="214"/>
      <c r="K162" s="157"/>
      <c r="L162" s="76"/>
      <c r="M162" s="78"/>
      <c r="N162" s="76"/>
      <c r="O162" s="76"/>
      <c r="P162" s="76"/>
      <c r="Q162" s="76"/>
    </row>
    <row r="163" spans="1:17" s="91" customFormat="1" ht="12" customHeight="1" x14ac:dyDescent="0.3">
      <c r="A163" s="76"/>
      <c r="B163" s="223"/>
      <c r="C163" s="76"/>
      <c r="D163" s="76"/>
      <c r="E163" s="76"/>
      <c r="F163" s="76"/>
      <c r="G163" s="76"/>
      <c r="H163" s="76"/>
      <c r="I163" s="76"/>
      <c r="J163" s="214"/>
      <c r="K163" s="157"/>
      <c r="L163" s="76"/>
      <c r="M163" s="78"/>
      <c r="N163" s="76"/>
      <c r="O163" s="76"/>
      <c r="P163" s="76"/>
      <c r="Q163" s="76"/>
    </row>
    <row r="164" spans="1:17" s="91" customFormat="1" ht="12" customHeight="1" x14ac:dyDescent="0.3">
      <c r="A164" s="76"/>
      <c r="B164" s="223"/>
      <c r="C164" s="76"/>
      <c r="D164" s="76"/>
      <c r="E164" s="76"/>
      <c r="F164" s="76"/>
      <c r="G164" s="76"/>
      <c r="H164" s="76"/>
      <c r="I164" s="76"/>
      <c r="J164" s="214"/>
      <c r="K164" s="157"/>
      <c r="L164" s="76"/>
      <c r="M164" s="78"/>
      <c r="N164" s="76"/>
      <c r="O164" s="76"/>
      <c r="P164" s="76"/>
      <c r="Q164" s="76"/>
    </row>
    <row r="165" spans="1:17" s="91" customFormat="1" ht="12" customHeight="1" x14ac:dyDescent="0.3">
      <c r="A165" s="76"/>
      <c r="B165" s="223"/>
      <c r="C165" s="76"/>
      <c r="D165" s="76"/>
      <c r="E165" s="76"/>
      <c r="F165" s="76"/>
      <c r="G165" s="76"/>
      <c r="H165" s="76"/>
      <c r="I165" s="76"/>
      <c r="J165" s="214"/>
      <c r="K165" s="157"/>
      <c r="L165" s="76"/>
      <c r="M165" s="78"/>
      <c r="N165" s="76"/>
      <c r="O165" s="76"/>
      <c r="P165" s="76"/>
      <c r="Q165" s="76"/>
    </row>
    <row r="166" spans="1:17" s="91" customFormat="1" ht="12" customHeight="1" x14ac:dyDescent="0.3">
      <c r="A166" s="76"/>
      <c r="B166" s="223"/>
      <c r="C166" s="76"/>
      <c r="D166" s="76"/>
      <c r="E166" s="76"/>
      <c r="F166" s="76"/>
      <c r="G166" s="76"/>
      <c r="H166" s="76"/>
      <c r="I166" s="76"/>
      <c r="J166" s="214"/>
      <c r="K166" s="157"/>
      <c r="L166" s="76"/>
      <c r="M166" s="78"/>
      <c r="N166" s="76"/>
      <c r="O166" s="76"/>
      <c r="P166" s="76"/>
      <c r="Q166" s="76"/>
    </row>
    <row r="167" spans="1:17" s="91" customFormat="1" ht="10.5" customHeight="1" x14ac:dyDescent="0.3">
      <c r="A167" s="76"/>
      <c r="B167" s="223"/>
      <c r="C167" s="76"/>
      <c r="D167" s="76"/>
      <c r="E167" s="76"/>
      <c r="F167" s="76"/>
      <c r="G167" s="76"/>
      <c r="H167" s="76"/>
      <c r="I167" s="76"/>
      <c r="J167" s="214"/>
      <c r="K167" s="157"/>
      <c r="L167" s="76"/>
      <c r="M167" s="78"/>
      <c r="N167" s="76"/>
      <c r="O167" s="76"/>
      <c r="P167" s="76"/>
      <c r="Q167" s="76"/>
    </row>
    <row r="168" spans="1:17" s="91" customFormat="1" ht="12" customHeight="1" x14ac:dyDescent="0.3">
      <c r="A168" s="76"/>
      <c r="B168" s="223"/>
      <c r="C168" s="76"/>
      <c r="D168" s="76"/>
      <c r="E168" s="76"/>
      <c r="F168" s="76"/>
      <c r="G168" s="76"/>
      <c r="H168" s="76"/>
      <c r="I168" s="76"/>
      <c r="J168" s="214"/>
      <c r="K168" s="157"/>
      <c r="L168" s="76"/>
      <c r="M168" s="78"/>
      <c r="N168" s="76"/>
      <c r="O168" s="76"/>
      <c r="P168" s="76"/>
      <c r="Q168" s="76"/>
    </row>
    <row r="169" spans="1:17" s="91" customFormat="1" ht="12" customHeight="1" x14ac:dyDescent="0.3">
      <c r="A169" s="76"/>
      <c r="B169" s="223"/>
      <c r="C169" s="76"/>
      <c r="D169" s="76"/>
      <c r="E169" s="76"/>
      <c r="F169" s="76"/>
      <c r="G169" s="76"/>
      <c r="H169" s="76"/>
      <c r="I169" s="76"/>
      <c r="J169" s="214"/>
      <c r="K169" s="157"/>
      <c r="L169" s="76"/>
      <c r="M169" s="78"/>
      <c r="N169" s="76"/>
      <c r="O169" s="76"/>
      <c r="P169" s="76"/>
      <c r="Q169" s="76"/>
    </row>
    <row r="170" spans="1:17" s="91" customFormat="1" ht="12" customHeight="1" x14ac:dyDescent="0.3">
      <c r="A170" s="76"/>
      <c r="B170" s="223"/>
      <c r="C170" s="76"/>
      <c r="D170" s="76"/>
      <c r="E170" s="76"/>
      <c r="F170" s="76"/>
      <c r="G170" s="76"/>
      <c r="H170" s="76"/>
      <c r="I170" s="76"/>
      <c r="J170" s="214"/>
      <c r="K170" s="157"/>
      <c r="L170" s="76"/>
      <c r="M170" s="78"/>
      <c r="N170" s="76"/>
      <c r="O170" s="76"/>
      <c r="P170" s="76"/>
      <c r="Q170" s="76"/>
    </row>
    <row r="171" spans="1:17" s="91" customFormat="1" ht="12" customHeight="1" x14ac:dyDescent="0.3">
      <c r="A171" s="76"/>
      <c r="B171" s="223"/>
      <c r="C171" s="76"/>
      <c r="D171" s="76"/>
      <c r="E171" s="76"/>
      <c r="F171" s="76"/>
      <c r="G171" s="76"/>
      <c r="H171" s="76"/>
      <c r="I171" s="76"/>
      <c r="J171" s="214"/>
      <c r="K171" s="157"/>
      <c r="L171" s="76"/>
      <c r="M171" s="78"/>
      <c r="N171" s="76"/>
      <c r="O171" s="76"/>
      <c r="P171" s="76"/>
      <c r="Q171" s="76"/>
    </row>
    <row r="172" spans="1:17" s="91" customFormat="1" ht="12" customHeight="1" x14ac:dyDescent="0.3">
      <c r="A172" s="76"/>
      <c r="B172" s="223"/>
      <c r="C172" s="76"/>
      <c r="D172" s="76"/>
      <c r="E172" s="76"/>
      <c r="F172" s="76"/>
      <c r="G172" s="76"/>
      <c r="H172" s="76"/>
      <c r="I172" s="76"/>
      <c r="J172" s="214"/>
      <c r="K172" s="157"/>
      <c r="L172" s="76"/>
      <c r="M172" s="78"/>
      <c r="N172" s="76"/>
      <c r="O172" s="76"/>
      <c r="P172" s="76"/>
      <c r="Q172" s="76"/>
    </row>
    <row r="173" spans="1:17" s="91" customFormat="1" ht="12" customHeight="1" x14ac:dyDescent="0.3">
      <c r="A173" s="76"/>
      <c r="B173" s="223"/>
      <c r="C173" s="76"/>
      <c r="D173" s="76"/>
      <c r="E173" s="76"/>
      <c r="F173" s="76"/>
      <c r="G173" s="76"/>
      <c r="H173" s="76"/>
      <c r="I173" s="76"/>
      <c r="J173" s="214"/>
      <c r="K173" s="157"/>
      <c r="L173" s="76"/>
      <c r="M173" s="78"/>
      <c r="N173" s="76"/>
      <c r="O173" s="76"/>
      <c r="P173" s="76"/>
      <c r="Q173" s="76"/>
    </row>
    <row r="174" spans="1:17" s="91" customFormat="1" ht="12" customHeight="1" x14ac:dyDescent="0.3">
      <c r="A174" s="76"/>
      <c r="B174" s="223"/>
      <c r="C174" s="76"/>
      <c r="D174" s="76"/>
      <c r="E174" s="76"/>
      <c r="F174" s="76"/>
      <c r="G174" s="76"/>
      <c r="H174" s="76"/>
      <c r="I174" s="76"/>
      <c r="J174" s="214"/>
      <c r="K174" s="157"/>
      <c r="L174" s="76"/>
      <c r="M174" s="78"/>
      <c r="N174" s="76"/>
      <c r="O174" s="76"/>
      <c r="P174" s="76"/>
      <c r="Q174" s="76"/>
    </row>
    <row r="175" spans="1:17" s="91" customFormat="1" ht="12" customHeight="1" x14ac:dyDescent="0.3">
      <c r="A175" s="76"/>
      <c r="B175" s="223"/>
      <c r="C175" s="76"/>
      <c r="D175" s="76"/>
      <c r="E175" s="76"/>
      <c r="F175" s="76"/>
      <c r="G175" s="76"/>
      <c r="H175" s="76"/>
      <c r="I175" s="76"/>
      <c r="J175" s="214"/>
      <c r="K175" s="157"/>
      <c r="L175" s="76"/>
      <c r="M175" s="78"/>
      <c r="N175" s="76"/>
      <c r="O175" s="76"/>
      <c r="P175" s="76"/>
      <c r="Q175" s="76"/>
    </row>
    <row r="176" spans="1:17" s="91" customFormat="1" ht="12" customHeight="1" x14ac:dyDescent="0.3">
      <c r="A176" s="76"/>
      <c r="B176" s="223"/>
      <c r="C176" s="76"/>
      <c r="D176" s="76"/>
      <c r="E176" s="76"/>
      <c r="F176" s="76"/>
      <c r="G176" s="76"/>
      <c r="H176" s="76"/>
      <c r="I176" s="76"/>
      <c r="J176" s="214"/>
      <c r="K176" s="157"/>
      <c r="L176" s="76"/>
      <c r="M176" s="78"/>
      <c r="N176" s="76"/>
      <c r="O176" s="76"/>
      <c r="P176" s="76"/>
      <c r="Q176" s="76"/>
    </row>
    <row r="177" spans="1:17" s="91" customFormat="1" ht="12" customHeight="1" x14ac:dyDescent="0.3">
      <c r="A177" s="76"/>
      <c r="B177" s="223"/>
      <c r="C177" s="76"/>
      <c r="D177" s="76"/>
      <c r="E177" s="76"/>
      <c r="F177" s="76"/>
      <c r="G177" s="76"/>
      <c r="H177" s="76"/>
      <c r="I177" s="76"/>
      <c r="J177" s="214"/>
      <c r="K177" s="157"/>
      <c r="L177" s="76"/>
      <c r="M177" s="78"/>
      <c r="N177" s="76"/>
      <c r="O177" s="76"/>
      <c r="P177" s="76"/>
      <c r="Q177" s="76"/>
    </row>
    <row r="178" spans="1:17" s="91" customFormat="1" ht="12" customHeight="1" x14ac:dyDescent="0.3">
      <c r="A178" s="76"/>
      <c r="B178" s="223"/>
      <c r="C178" s="76"/>
      <c r="D178" s="76"/>
      <c r="E178" s="76"/>
      <c r="F178" s="76"/>
      <c r="G178" s="76"/>
      <c r="H178" s="76"/>
      <c r="I178" s="76"/>
      <c r="J178" s="214"/>
      <c r="K178" s="157"/>
      <c r="L178" s="76"/>
      <c r="M178" s="78"/>
      <c r="N178" s="76"/>
      <c r="O178" s="76"/>
      <c r="P178" s="76"/>
      <c r="Q178" s="76"/>
    </row>
    <row r="179" spans="1:17" s="91" customFormat="1" ht="12" customHeight="1" x14ac:dyDescent="0.3">
      <c r="A179" s="76"/>
      <c r="B179" s="223"/>
      <c r="C179" s="76"/>
      <c r="D179" s="76"/>
      <c r="E179" s="76"/>
      <c r="F179" s="76"/>
      <c r="G179" s="76"/>
      <c r="H179" s="76"/>
      <c r="I179" s="76"/>
      <c r="J179" s="214"/>
      <c r="K179" s="157"/>
      <c r="L179" s="76"/>
      <c r="M179" s="78"/>
      <c r="N179" s="76"/>
      <c r="O179" s="76"/>
      <c r="P179" s="76"/>
      <c r="Q179" s="76"/>
    </row>
    <row r="180" spans="1:17" s="91" customFormat="1" ht="12" customHeight="1" x14ac:dyDescent="0.3">
      <c r="A180" s="76"/>
      <c r="B180" s="223"/>
      <c r="C180" s="76"/>
      <c r="D180" s="76"/>
      <c r="E180" s="76"/>
      <c r="F180" s="76"/>
      <c r="G180" s="76"/>
      <c r="H180" s="76"/>
      <c r="I180" s="76"/>
      <c r="J180" s="214"/>
      <c r="K180" s="157"/>
      <c r="L180" s="76"/>
      <c r="M180" s="78"/>
      <c r="N180" s="76"/>
      <c r="O180" s="76"/>
      <c r="P180" s="76"/>
      <c r="Q180" s="76"/>
    </row>
    <row r="181" spans="1:17" s="91" customFormat="1" ht="12" customHeight="1" x14ac:dyDescent="0.3">
      <c r="A181" s="76"/>
      <c r="B181" s="223"/>
      <c r="C181" s="76"/>
      <c r="D181" s="76"/>
      <c r="E181" s="76"/>
      <c r="F181" s="76"/>
      <c r="G181" s="76"/>
      <c r="H181" s="76"/>
      <c r="I181" s="76"/>
      <c r="J181" s="214"/>
      <c r="K181" s="157"/>
      <c r="L181" s="76"/>
      <c r="M181" s="78"/>
      <c r="N181" s="76"/>
      <c r="O181" s="76"/>
      <c r="P181" s="76"/>
      <c r="Q181" s="76"/>
    </row>
    <row r="182" spans="1:17" s="91" customFormat="1" ht="12" customHeight="1" x14ac:dyDescent="0.3">
      <c r="A182" s="76"/>
      <c r="B182" s="223"/>
      <c r="C182" s="76"/>
      <c r="D182" s="76"/>
      <c r="E182" s="76"/>
      <c r="F182" s="76"/>
      <c r="G182" s="76"/>
      <c r="H182" s="76"/>
      <c r="I182" s="76"/>
      <c r="J182" s="214"/>
      <c r="K182" s="157"/>
      <c r="L182" s="76"/>
      <c r="M182" s="78"/>
      <c r="N182" s="76"/>
      <c r="O182" s="76"/>
      <c r="P182" s="76"/>
      <c r="Q182" s="76"/>
    </row>
    <row r="183" spans="1:17" s="91" customFormat="1" ht="12" customHeight="1" x14ac:dyDescent="0.3">
      <c r="A183" s="76"/>
      <c r="B183" s="223"/>
      <c r="C183" s="76"/>
      <c r="D183" s="76"/>
      <c r="E183" s="76"/>
      <c r="F183" s="76"/>
      <c r="G183" s="76"/>
      <c r="H183" s="76"/>
      <c r="I183" s="76"/>
      <c r="J183" s="214"/>
      <c r="K183" s="157"/>
      <c r="L183" s="76"/>
      <c r="M183" s="78"/>
      <c r="N183" s="76"/>
      <c r="O183" s="76"/>
      <c r="P183" s="76"/>
      <c r="Q183" s="76"/>
    </row>
    <row r="184" spans="1:17" s="91" customFormat="1" ht="12" customHeight="1" x14ac:dyDescent="0.3">
      <c r="A184" s="76"/>
      <c r="B184" s="223"/>
      <c r="C184" s="76"/>
      <c r="D184" s="76"/>
      <c r="E184" s="76"/>
      <c r="F184" s="76"/>
      <c r="G184" s="76"/>
      <c r="H184" s="76"/>
      <c r="I184" s="76"/>
      <c r="J184" s="214"/>
      <c r="K184" s="157"/>
      <c r="L184" s="76"/>
      <c r="M184" s="78"/>
      <c r="N184" s="76"/>
      <c r="O184" s="76"/>
      <c r="P184" s="76"/>
      <c r="Q184" s="76"/>
    </row>
    <row r="185" spans="1:17" s="91" customFormat="1" ht="12" customHeight="1" x14ac:dyDescent="0.3">
      <c r="A185" s="76"/>
      <c r="B185" s="223"/>
      <c r="C185" s="76"/>
      <c r="D185" s="76"/>
      <c r="E185" s="76"/>
      <c r="F185" s="76"/>
      <c r="G185" s="76"/>
      <c r="H185" s="76"/>
      <c r="I185" s="76"/>
      <c r="J185" s="214"/>
      <c r="K185" s="157"/>
      <c r="L185" s="76"/>
      <c r="M185" s="78"/>
      <c r="N185" s="76"/>
      <c r="O185" s="76"/>
      <c r="P185" s="76"/>
      <c r="Q185" s="76"/>
    </row>
    <row r="186" spans="1:17" s="91" customFormat="1" ht="12" customHeight="1" x14ac:dyDescent="0.3">
      <c r="A186" s="76"/>
      <c r="B186" s="223"/>
      <c r="C186" s="76"/>
      <c r="D186" s="76"/>
      <c r="E186" s="76"/>
      <c r="F186" s="76"/>
      <c r="G186" s="76"/>
      <c r="H186" s="76"/>
      <c r="I186" s="76"/>
      <c r="J186" s="214"/>
      <c r="K186" s="157"/>
      <c r="L186" s="76"/>
      <c r="M186" s="78"/>
      <c r="N186" s="76"/>
      <c r="O186" s="76"/>
      <c r="P186" s="76"/>
      <c r="Q186" s="76"/>
    </row>
    <row r="187" spans="1:17" s="91" customFormat="1" ht="12" customHeight="1" x14ac:dyDescent="0.3">
      <c r="A187" s="76"/>
      <c r="B187" s="223"/>
      <c r="C187" s="76"/>
      <c r="D187" s="76"/>
      <c r="E187" s="76"/>
      <c r="F187" s="76"/>
      <c r="G187" s="76"/>
      <c r="H187" s="76"/>
      <c r="I187" s="76"/>
      <c r="J187" s="214"/>
      <c r="K187" s="157"/>
      <c r="L187" s="76"/>
      <c r="M187" s="78"/>
      <c r="N187" s="76"/>
      <c r="O187" s="76"/>
      <c r="P187" s="76"/>
      <c r="Q187" s="76"/>
    </row>
    <row r="188" spans="1:17" s="91" customFormat="1" ht="12" customHeight="1" x14ac:dyDescent="0.3">
      <c r="A188" s="76"/>
      <c r="B188" s="223"/>
      <c r="C188" s="76"/>
      <c r="D188" s="76"/>
      <c r="E188" s="76"/>
      <c r="F188" s="76"/>
      <c r="G188" s="76"/>
      <c r="H188" s="76"/>
      <c r="I188" s="76"/>
      <c r="J188" s="214"/>
      <c r="K188" s="157"/>
      <c r="L188" s="76"/>
      <c r="M188" s="78"/>
      <c r="N188" s="76"/>
      <c r="O188" s="76"/>
      <c r="P188" s="76"/>
      <c r="Q188" s="76"/>
    </row>
    <row r="189" spans="1:17" s="91" customFormat="1" ht="12" customHeight="1" x14ac:dyDescent="0.3">
      <c r="A189" s="76"/>
      <c r="B189" s="223"/>
      <c r="C189" s="76"/>
      <c r="D189" s="76"/>
      <c r="E189" s="76"/>
      <c r="F189" s="76"/>
      <c r="G189" s="76"/>
      <c r="H189" s="76"/>
      <c r="I189" s="76"/>
      <c r="J189" s="214"/>
      <c r="K189" s="157"/>
      <c r="L189" s="76"/>
      <c r="M189" s="78"/>
      <c r="N189" s="76"/>
      <c r="O189" s="76"/>
      <c r="P189" s="76"/>
      <c r="Q189" s="76"/>
    </row>
    <row r="190" spans="1:17" s="91" customFormat="1" ht="12" customHeight="1" x14ac:dyDescent="0.3">
      <c r="A190" s="76"/>
      <c r="B190" s="223"/>
      <c r="C190" s="76"/>
      <c r="D190" s="76"/>
      <c r="E190" s="76"/>
      <c r="F190" s="76"/>
      <c r="G190" s="76"/>
      <c r="H190" s="76"/>
      <c r="I190" s="76"/>
      <c r="J190" s="214"/>
      <c r="K190" s="157"/>
      <c r="L190" s="76"/>
      <c r="M190" s="78"/>
      <c r="N190" s="76"/>
      <c r="O190" s="76"/>
      <c r="P190" s="76"/>
      <c r="Q190" s="76"/>
    </row>
    <row r="191" spans="1:17" s="91" customFormat="1" ht="12" customHeight="1" x14ac:dyDescent="0.3">
      <c r="A191" s="76"/>
      <c r="B191" s="223"/>
      <c r="C191" s="76"/>
      <c r="D191" s="76"/>
      <c r="E191" s="76"/>
      <c r="F191" s="76"/>
      <c r="G191" s="76"/>
      <c r="H191" s="76"/>
      <c r="I191" s="76"/>
      <c r="J191" s="214"/>
      <c r="K191" s="157"/>
      <c r="L191" s="76"/>
      <c r="M191" s="78"/>
      <c r="N191" s="76"/>
      <c r="O191" s="76"/>
      <c r="P191" s="76"/>
      <c r="Q191" s="76"/>
    </row>
    <row r="192" spans="1:17" s="91" customFormat="1" ht="12" customHeight="1" x14ac:dyDescent="0.3">
      <c r="A192" s="76"/>
      <c r="B192" s="223"/>
      <c r="C192" s="76"/>
      <c r="D192" s="76"/>
      <c r="E192" s="76"/>
      <c r="F192" s="76"/>
      <c r="G192" s="76"/>
      <c r="H192" s="76"/>
      <c r="I192" s="76"/>
      <c r="J192" s="214"/>
      <c r="K192" s="157"/>
      <c r="L192" s="76"/>
      <c r="M192" s="78"/>
      <c r="N192" s="76"/>
      <c r="O192" s="76"/>
      <c r="P192" s="76"/>
      <c r="Q192" s="76"/>
    </row>
    <row r="193" spans="1:17" s="91" customFormat="1" ht="12" customHeight="1" x14ac:dyDescent="0.3">
      <c r="A193" s="76"/>
      <c r="B193" s="223"/>
      <c r="C193" s="76"/>
      <c r="D193" s="76"/>
      <c r="E193" s="76"/>
      <c r="F193" s="76"/>
      <c r="G193" s="76"/>
      <c r="H193" s="76"/>
      <c r="I193" s="76"/>
      <c r="J193" s="214"/>
      <c r="K193" s="157"/>
      <c r="L193" s="76"/>
      <c r="M193" s="78"/>
      <c r="N193" s="76"/>
      <c r="O193" s="76"/>
      <c r="P193" s="76"/>
      <c r="Q193" s="76"/>
    </row>
    <row r="194" spans="1:17" s="91" customFormat="1" ht="12" customHeight="1" x14ac:dyDescent="0.3">
      <c r="A194" s="76"/>
      <c r="B194" s="223"/>
      <c r="C194" s="76"/>
      <c r="D194" s="76"/>
      <c r="E194" s="76"/>
      <c r="F194" s="76"/>
      <c r="G194" s="76"/>
      <c r="H194" s="76"/>
      <c r="I194" s="76"/>
      <c r="J194" s="214"/>
      <c r="K194" s="157"/>
      <c r="L194" s="76"/>
      <c r="M194" s="78"/>
      <c r="N194" s="76"/>
      <c r="O194" s="76"/>
      <c r="P194" s="76"/>
      <c r="Q194" s="76"/>
    </row>
    <row r="195" spans="1:17" s="91" customFormat="1" ht="12" customHeight="1" x14ac:dyDescent="0.3">
      <c r="A195" s="76"/>
      <c r="B195" s="223"/>
      <c r="C195" s="76"/>
      <c r="D195" s="76"/>
      <c r="E195" s="76"/>
      <c r="F195" s="76"/>
      <c r="G195" s="76"/>
      <c r="H195" s="76"/>
      <c r="I195" s="76"/>
      <c r="J195" s="214"/>
      <c r="K195" s="157"/>
      <c r="L195" s="76"/>
      <c r="M195" s="78"/>
      <c r="N195" s="76"/>
      <c r="O195" s="76"/>
      <c r="P195" s="76"/>
      <c r="Q195" s="76"/>
    </row>
    <row r="196" spans="1:17" s="91" customFormat="1" ht="12" customHeight="1" x14ac:dyDescent="0.3">
      <c r="A196" s="76"/>
      <c r="B196" s="223"/>
      <c r="C196" s="76"/>
      <c r="D196" s="76"/>
      <c r="E196" s="76"/>
      <c r="F196" s="76"/>
      <c r="G196" s="76"/>
      <c r="H196" s="76"/>
      <c r="I196" s="76"/>
      <c r="J196" s="214"/>
      <c r="K196" s="157"/>
      <c r="L196" s="76"/>
      <c r="M196" s="78"/>
      <c r="N196" s="76"/>
      <c r="O196" s="76"/>
      <c r="P196" s="76"/>
      <c r="Q196" s="76"/>
    </row>
    <row r="197" spans="1:17" s="91" customFormat="1" ht="12" customHeight="1" x14ac:dyDescent="0.3">
      <c r="A197" s="76"/>
      <c r="B197" s="223"/>
      <c r="C197" s="76"/>
      <c r="D197" s="76"/>
      <c r="E197" s="76"/>
      <c r="F197" s="76"/>
      <c r="G197" s="76"/>
      <c r="H197" s="76"/>
      <c r="I197" s="76"/>
      <c r="J197" s="214"/>
      <c r="K197" s="157"/>
      <c r="L197" s="76"/>
      <c r="M197" s="78"/>
      <c r="N197" s="76"/>
      <c r="O197" s="76"/>
      <c r="P197" s="76"/>
      <c r="Q197" s="76"/>
    </row>
    <row r="198" spans="1:17" s="91" customFormat="1" ht="12" customHeight="1" x14ac:dyDescent="0.3">
      <c r="A198" s="76"/>
      <c r="B198" s="223"/>
      <c r="C198" s="76"/>
      <c r="D198" s="76"/>
      <c r="E198" s="76"/>
      <c r="F198" s="76"/>
      <c r="G198" s="76"/>
      <c r="H198" s="76"/>
      <c r="I198" s="76"/>
      <c r="J198" s="214"/>
      <c r="K198" s="157"/>
      <c r="L198" s="76"/>
      <c r="M198" s="78"/>
      <c r="N198" s="76"/>
      <c r="O198" s="76"/>
      <c r="P198" s="76"/>
      <c r="Q198" s="76"/>
    </row>
    <row r="199" spans="1:17" s="91" customFormat="1" ht="12" customHeight="1" x14ac:dyDescent="0.3">
      <c r="A199" s="76"/>
      <c r="B199" s="223"/>
      <c r="C199" s="76"/>
      <c r="D199" s="76"/>
      <c r="E199" s="76"/>
      <c r="F199" s="76"/>
      <c r="G199" s="76"/>
      <c r="H199" s="76"/>
      <c r="I199" s="76"/>
      <c r="J199" s="214"/>
      <c r="K199" s="157"/>
      <c r="L199" s="76"/>
      <c r="M199" s="78"/>
      <c r="N199" s="76"/>
      <c r="O199" s="76"/>
      <c r="P199" s="76"/>
      <c r="Q199" s="76"/>
    </row>
    <row r="200" spans="1:17" s="91" customFormat="1" ht="12" customHeight="1" x14ac:dyDescent="0.3">
      <c r="A200" s="76"/>
      <c r="B200" s="223"/>
      <c r="C200" s="76"/>
      <c r="D200" s="76"/>
      <c r="E200" s="76"/>
      <c r="F200" s="76"/>
      <c r="G200" s="76"/>
      <c r="H200" s="76"/>
      <c r="I200" s="76"/>
      <c r="J200" s="214"/>
      <c r="K200" s="157"/>
      <c r="L200" s="76"/>
      <c r="M200" s="78"/>
      <c r="N200" s="76"/>
      <c r="O200" s="76"/>
      <c r="P200" s="76"/>
      <c r="Q200" s="76"/>
    </row>
    <row r="201" spans="1:17" s="91" customFormat="1" ht="12" customHeight="1" x14ac:dyDescent="0.3">
      <c r="A201" s="76"/>
      <c r="B201" s="223"/>
      <c r="C201" s="76"/>
      <c r="D201" s="76"/>
      <c r="E201" s="76"/>
      <c r="F201" s="76"/>
      <c r="G201" s="76"/>
      <c r="H201" s="76"/>
      <c r="I201" s="76"/>
      <c r="J201" s="214"/>
      <c r="K201" s="157"/>
      <c r="L201" s="76"/>
      <c r="M201" s="78"/>
      <c r="N201" s="76"/>
      <c r="O201" s="76"/>
      <c r="P201" s="76"/>
      <c r="Q201" s="76"/>
    </row>
    <row r="202" spans="1:17" s="91" customFormat="1" ht="12" customHeight="1" x14ac:dyDescent="0.3">
      <c r="A202" s="76"/>
      <c r="B202" s="223"/>
      <c r="C202" s="76"/>
      <c r="D202" s="76"/>
      <c r="E202" s="76"/>
      <c r="F202" s="76"/>
      <c r="G202" s="76"/>
      <c r="H202" s="76"/>
      <c r="I202" s="76"/>
      <c r="J202" s="214"/>
      <c r="K202" s="157"/>
      <c r="L202" s="76"/>
      <c r="M202" s="78"/>
      <c r="N202" s="76"/>
      <c r="O202" s="76"/>
      <c r="P202" s="76"/>
      <c r="Q202" s="76"/>
    </row>
    <row r="203" spans="1:17" s="91" customFormat="1" ht="12" customHeight="1" x14ac:dyDescent="0.3">
      <c r="A203" s="76"/>
      <c r="B203" s="223"/>
      <c r="C203" s="76"/>
      <c r="D203" s="76"/>
      <c r="E203" s="76"/>
      <c r="F203" s="76"/>
      <c r="G203" s="76"/>
      <c r="H203" s="76"/>
      <c r="I203" s="76"/>
      <c r="J203" s="214"/>
      <c r="K203" s="157"/>
      <c r="L203" s="76"/>
      <c r="M203" s="78"/>
      <c r="N203" s="76"/>
      <c r="O203" s="76"/>
      <c r="P203" s="76"/>
      <c r="Q203" s="76"/>
    </row>
    <row r="204" spans="1:17" s="91" customFormat="1" ht="12" customHeight="1" x14ac:dyDescent="0.3">
      <c r="A204" s="76"/>
      <c r="B204" s="223"/>
      <c r="C204" s="76"/>
      <c r="D204" s="76"/>
      <c r="E204" s="76"/>
      <c r="F204" s="76"/>
      <c r="G204" s="76"/>
      <c r="H204" s="76"/>
      <c r="I204" s="76"/>
      <c r="J204" s="214"/>
      <c r="K204" s="157"/>
      <c r="L204" s="76"/>
      <c r="M204" s="78"/>
      <c r="N204" s="76"/>
      <c r="O204" s="76"/>
      <c r="P204" s="76"/>
      <c r="Q204" s="76"/>
    </row>
    <row r="205" spans="1:17" s="91" customFormat="1" ht="12" customHeight="1" x14ac:dyDescent="0.3">
      <c r="A205" s="76"/>
      <c r="B205" s="223"/>
      <c r="C205" s="76"/>
      <c r="D205" s="76"/>
      <c r="E205" s="76"/>
      <c r="F205" s="76"/>
      <c r="G205" s="76"/>
      <c r="H205" s="76"/>
      <c r="I205" s="76"/>
      <c r="J205" s="214"/>
      <c r="K205" s="157"/>
      <c r="L205" s="76"/>
      <c r="M205" s="78"/>
      <c r="N205" s="76"/>
      <c r="O205" s="76"/>
      <c r="P205" s="76"/>
      <c r="Q205" s="76"/>
    </row>
    <row r="206" spans="1:17" s="91" customFormat="1" ht="12" customHeight="1" x14ac:dyDescent="0.3">
      <c r="A206" s="76"/>
      <c r="B206" s="223"/>
      <c r="C206" s="76"/>
      <c r="D206" s="76"/>
      <c r="E206" s="76"/>
      <c r="F206" s="76"/>
      <c r="G206" s="76"/>
      <c r="H206" s="76"/>
      <c r="I206" s="76"/>
      <c r="J206" s="214"/>
      <c r="K206" s="157"/>
      <c r="L206" s="76"/>
      <c r="M206" s="78"/>
      <c r="N206" s="76"/>
      <c r="O206" s="76"/>
      <c r="P206" s="76"/>
      <c r="Q206" s="76"/>
    </row>
    <row r="207" spans="1:17" s="91" customFormat="1" ht="12" customHeight="1" x14ac:dyDescent="0.3">
      <c r="A207" s="76"/>
      <c r="B207" s="223"/>
      <c r="C207" s="76"/>
      <c r="D207" s="76"/>
      <c r="E207" s="76"/>
      <c r="F207" s="76"/>
      <c r="G207" s="76"/>
      <c r="H207" s="76"/>
      <c r="I207" s="76"/>
      <c r="J207" s="214"/>
      <c r="K207" s="157"/>
      <c r="L207" s="76"/>
      <c r="M207" s="78"/>
      <c r="N207" s="76"/>
      <c r="O207" s="76"/>
      <c r="P207" s="76"/>
      <c r="Q207" s="76"/>
    </row>
    <row r="208" spans="1:17" s="91" customFormat="1" ht="12" customHeight="1" x14ac:dyDescent="0.3">
      <c r="A208" s="76"/>
      <c r="B208" s="223"/>
      <c r="C208" s="76"/>
      <c r="D208" s="76"/>
      <c r="E208" s="76"/>
      <c r="F208" s="76"/>
      <c r="G208" s="76"/>
      <c r="H208" s="76"/>
      <c r="I208" s="76"/>
      <c r="J208" s="214"/>
      <c r="K208" s="157"/>
      <c r="L208" s="76"/>
      <c r="M208" s="78"/>
      <c r="N208" s="76"/>
      <c r="O208" s="76"/>
      <c r="P208" s="76"/>
      <c r="Q208" s="76"/>
    </row>
    <row r="209" spans="1:17" s="91" customFormat="1" ht="12" customHeight="1" x14ac:dyDescent="0.3">
      <c r="A209" s="76"/>
      <c r="B209" s="223"/>
      <c r="C209" s="76"/>
      <c r="D209" s="76"/>
      <c r="E209" s="76"/>
      <c r="F209" s="76"/>
      <c r="G209" s="76"/>
      <c r="H209" s="76"/>
      <c r="I209" s="76"/>
      <c r="J209" s="214"/>
      <c r="K209" s="157"/>
      <c r="L209" s="76"/>
      <c r="M209" s="78"/>
      <c r="N209" s="76"/>
      <c r="O209" s="76"/>
      <c r="P209" s="76"/>
      <c r="Q209" s="76"/>
    </row>
    <row r="210" spans="1:17" s="91" customFormat="1" ht="12" customHeight="1" x14ac:dyDescent="0.3">
      <c r="A210" s="76"/>
      <c r="B210" s="223"/>
      <c r="C210" s="76"/>
      <c r="D210" s="76"/>
      <c r="E210" s="76"/>
      <c r="F210" s="76"/>
      <c r="G210" s="76"/>
      <c r="H210" s="76"/>
      <c r="I210" s="76"/>
      <c r="J210" s="214"/>
      <c r="K210" s="157"/>
      <c r="L210" s="76"/>
      <c r="M210" s="78"/>
      <c r="N210" s="76"/>
      <c r="O210" s="76"/>
      <c r="P210" s="76"/>
      <c r="Q210" s="76"/>
    </row>
    <row r="211" spans="1:17" s="91" customFormat="1" ht="12" customHeight="1" x14ac:dyDescent="0.3">
      <c r="A211" s="76"/>
      <c r="B211" s="223"/>
      <c r="C211" s="76"/>
      <c r="D211" s="76"/>
      <c r="E211" s="76"/>
      <c r="F211" s="76"/>
      <c r="G211" s="76"/>
      <c r="H211" s="76"/>
      <c r="I211" s="76"/>
      <c r="J211" s="214"/>
      <c r="K211" s="157"/>
      <c r="L211" s="76"/>
      <c r="M211" s="78"/>
      <c r="N211" s="76"/>
      <c r="O211" s="76"/>
      <c r="P211" s="76"/>
      <c r="Q211" s="76"/>
    </row>
    <row r="212" spans="1:17" s="91" customFormat="1" ht="12" customHeight="1" x14ac:dyDescent="0.3">
      <c r="A212" s="76"/>
      <c r="B212" s="223"/>
      <c r="C212" s="76"/>
      <c r="D212" s="76"/>
      <c r="E212" s="76"/>
      <c r="F212" s="76"/>
      <c r="G212" s="76"/>
      <c r="H212" s="76"/>
      <c r="I212" s="76"/>
      <c r="J212" s="214"/>
      <c r="K212" s="157"/>
      <c r="L212" s="76"/>
      <c r="M212" s="78"/>
      <c r="N212" s="76"/>
      <c r="O212" s="76"/>
      <c r="P212" s="76"/>
      <c r="Q212" s="76"/>
    </row>
    <row r="213" spans="1:17" s="91" customFormat="1" ht="12" customHeight="1" x14ac:dyDescent="0.3">
      <c r="A213" s="76"/>
      <c r="B213" s="223"/>
      <c r="C213" s="76"/>
      <c r="D213" s="76"/>
      <c r="E213" s="76"/>
      <c r="F213" s="76"/>
      <c r="G213" s="76"/>
      <c r="H213" s="76"/>
      <c r="I213" s="76"/>
      <c r="J213" s="214"/>
      <c r="K213" s="157"/>
      <c r="L213" s="76"/>
      <c r="M213" s="78"/>
      <c r="N213" s="76"/>
      <c r="O213" s="76"/>
      <c r="P213" s="76"/>
      <c r="Q213" s="76"/>
    </row>
    <row r="214" spans="1:17" s="91" customFormat="1" ht="12" customHeight="1" x14ac:dyDescent="0.3">
      <c r="A214" s="76"/>
      <c r="B214" s="223"/>
      <c r="C214" s="76"/>
      <c r="D214" s="76"/>
      <c r="E214" s="76"/>
      <c r="F214" s="76"/>
      <c r="G214" s="76"/>
      <c r="H214" s="76"/>
      <c r="I214" s="76"/>
      <c r="J214" s="214"/>
      <c r="K214" s="157"/>
      <c r="L214" s="76"/>
      <c r="M214" s="78"/>
      <c r="N214" s="76"/>
      <c r="O214" s="76"/>
      <c r="P214" s="76"/>
      <c r="Q214" s="76"/>
    </row>
    <row r="215" spans="1:17" s="91" customFormat="1" ht="12" customHeight="1" x14ac:dyDescent="0.3">
      <c r="A215" s="76"/>
      <c r="B215" s="223"/>
      <c r="C215" s="76"/>
      <c r="D215" s="76"/>
      <c r="E215" s="76"/>
      <c r="F215" s="76"/>
      <c r="G215" s="76"/>
      <c r="H215" s="76"/>
      <c r="I215" s="76"/>
      <c r="J215" s="214"/>
      <c r="K215" s="157"/>
      <c r="L215" s="76"/>
      <c r="M215" s="78"/>
      <c r="N215" s="76"/>
      <c r="O215" s="76"/>
      <c r="P215" s="76"/>
      <c r="Q215" s="76"/>
    </row>
    <row r="216" spans="1:17" s="91" customFormat="1" ht="12" customHeight="1" x14ac:dyDescent="0.3">
      <c r="A216" s="76"/>
      <c r="B216" s="223"/>
      <c r="C216" s="76"/>
      <c r="D216" s="76"/>
      <c r="E216" s="76"/>
      <c r="F216" s="76"/>
      <c r="G216" s="76"/>
      <c r="H216" s="76"/>
      <c r="I216" s="76"/>
      <c r="J216" s="214"/>
      <c r="K216" s="157"/>
      <c r="L216" s="76"/>
      <c r="M216" s="78"/>
      <c r="N216" s="76"/>
      <c r="O216" s="76"/>
      <c r="P216" s="76"/>
      <c r="Q216" s="76"/>
    </row>
    <row r="217" spans="1:17" s="91" customFormat="1" ht="12" customHeight="1" x14ac:dyDescent="0.3">
      <c r="A217" s="76"/>
      <c r="B217" s="223"/>
      <c r="C217" s="76"/>
      <c r="D217" s="76"/>
      <c r="E217" s="76"/>
      <c r="F217" s="76"/>
      <c r="G217" s="76"/>
      <c r="H217" s="76"/>
      <c r="I217" s="76"/>
      <c r="J217" s="214"/>
      <c r="K217" s="157"/>
      <c r="L217" s="76"/>
      <c r="M217" s="78"/>
      <c r="N217" s="76"/>
      <c r="O217" s="76"/>
      <c r="P217" s="76"/>
      <c r="Q217" s="76"/>
    </row>
    <row r="218" spans="1:17" s="91" customFormat="1" ht="12" customHeight="1" x14ac:dyDescent="0.3">
      <c r="A218" s="76"/>
      <c r="B218" s="223"/>
      <c r="C218" s="76"/>
      <c r="D218" s="76"/>
      <c r="E218" s="76"/>
      <c r="F218" s="76"/>
      <c r="G218" s="76"/>
      <c r="H218" s="76"/>
      <c r="I218" s="76"/>
      <c r="J218" s="214"/>
      <c r="K218" s="157"/>
      <c r="L218" s="76"/>
      <c r="M218" s="78"/>
      <c r="N218" s="76"/>
      <c r="O218" s="76"/>
      <c r="P218" s="76"/>
      <c r="Q218" s="76"/>
    </row>
    <row r="219" spans="1:17" s="91" customFormat="1" ht="13.5" customHeight="1" x14ac:dyDescent="0.3">
      <c r="A219" s="76"/>
      <c r="B219" s="223"/>
      <c r="C219" s="76"/>
      <c r="D219" s="76"/>
      <c r="E219" s="76"/>
      <c r="F219" s="76"/>
      <c r="G219" s="76"/>
      <c r="H219" s="76"/>
      <c r="I219" s="76"/>
      <c r="J219" s="214"/>
      <c r="K219" s="157"/>
      <c r="L219" s="76"/>
      <c r="M219" s="78"/>
      <c r="N219" s="76"/>
      <c r="O219" s="76"/>
      <c r="P219" s="76"/>
      <c r="Q219" s="76"/>
    </row>
    <row r="220" spans="1:17" s="91" customFormat="1" ht="12" customHeight="1" x14ac:dyDescent="0.3">
      <c r="A220" s="76"/>
      <c r="B220" s="223"/>
      <c r="C220" s="76"/>
      <c r="D220" s="76"/>
      <c r="E220" s="76"/>
      <c r="F220" s="76"/>
      <c r="G220" s="76"/>
      <c r="H220" s="76"/>
      <c r="I220" s="76"/>
      <c r="J220" s="214"/>
      <c r="K220" s="157"/>
      <c r="L220" s="76"/>
      <c r="M220" s="78"/>
      <c r="N220" s="76"/>
      <c r="O220" s="76"/>
      <c r="P220" s="76"/>
      <c r="Q220" s="76"/>
    </row>
    <row r="221" spans="1:17" s="91" customFormat="1" ht="12" customHeight="1" x14ac:dyDescent="0.3">
      <c r="A221" s="76"/>
      <c r="B221" s="223"/>
      <c r="C221" s="76"/>
      <c r="D221" s="76"/>
      <c r="E221" s="76"/>
      <c r="F221" s="76"/>
      <c r="G221" s="76"/>
      <c r="H221" s="76"/>
      <c r="I221" s="76"/>
      <c r="J221" s="214"/>
      <c r="K221" s="157"/>
      <c r="L221" s="76"/>
      <c r="M221" s="78"/>
      <c r="N221" s="76"/>
      <c r="O221" s="76"/>
      <c r="P221" s="76"/>
      <c r="Q221" s="76"/>
    </row>
    <row r="222" spans="1:17" s="91" customFormat="1" ht="12" customHeight="1" x14ac:dyDescent="0.3">
      <c r="A222" s="76"/>
      <c r="B222" s="223"/>
      <c r="C222" s="76"/>
      <c r="D222" s="76"/>
      <c r="E222" s="76"/>
      <c r="F222" s="76"/>
      <c r="G222" s="76"/>
      <c r="H222" s="76"/>
      <c r="I222" s="76"/>
      <c r="J222" s="214"/>
      <c r="K222" s="157"/>
      <c r="L222" s="76"/>
      <c r="M222" s="78"/>
      <c r="N222" s="76"/>
      <c r="O222" s="76"/>
      <c r="P222" s="76"/>
      <c r="Q222" s="76"/>
    </row>
    <row r="223" spans="1:17" s="91" customFormat="1" ht="12" customHeight="1" x14ac:dyDescent="0.3">
      <c r="A223" s="76"/>
      <c r="B223" s="223"/>
      <c r="C223" s="76"/>
      <c r="D223" s="76"/>
      <c r="E223" s="76"/>
      <c r="F223" s="76"/>
      <c r="G223" s="76"/>
      <c r="H223" s="76"/>
      <c r="I223" s="76"/>
      <c r="J223" s="214"/>
      <c r="K223" s="157"/>
      <c r="L223" s="76"/>
      <c r="M223" s="78"/>
      <c r="N223" s="76"/>
      <c r="O223" s="76"/>
      <c r="P223" s="76"/>
      <c r="Q223" s="76"/>
    </row>
    <row r="224" spans="1:17" s="91" customFormat="1" ht="12" customHeight="1" x14ac:dyDescent="0.3">
      <c r="A224" s="76"/>
      <c r="B224" s="223"/>
      <c r="C224" s="76"/>
      <c r="D224" s="76"/>
      <c r="E224" s="76"/>
      <c r="F224" s="76"/>
      <c r="G224" s="76"/>
      <c r="H224" s="76"/>
      <c r="I224" s="76"/>
      <c r="J224" s="214"/>
      <c r="K224" s="157"/>
      <c r="L224" s="76"/>
      <c r="M224" s="78"/>
      <c r="N224" s="76"/>
      <c r="O224" s="76"/>
      <c r="P224" s="76"/>
      <c r="Q224" s="76"/>
    </row>
    <row r="225" spans="1:17" s="91" customFormat="1" ht="12" customHeight="1" x14ac:dyDescent="0.3">
      <c r="A225" s="76"/>
      <c r="B225" s="223"/>
      <c r="C225" s="76"/>
      <c r="D225" s="76"/>
      <c r="E225" s="76"/>
      <c r="F225" s="76"/>
      <c r="G225" s="76"/>
      <c r="H225" s="76"/>
      <c r="I225" s="76"/>
      <c r="J225" s="214"/>
      <c r="K225" s="157"/>
      <c r="L225" s="76"/>
      <c r="M225" s="78"/>
      <c r="N225" s="76"/>
      <c r="O225" s="76"/>
      <c r="P225" s="76"/>
      <c r="Q225" s="76"/>
    </row>
    <row r="226" spans="1:17" s="91" customFormat="1" ht="12" customHeight="1" x14ac:dyDescent="0.3">
      <c r="A226" s="76"/>
      <c r="B226" s="223"/>
      <c r="C226" s="76"/>
      <c r="D226" s="76"/>
      <c r="E226" s="76"/>
      <c r="F226" s="76"/>
      <c r="G226" s="76"/>
      <c r="H226" s="76"/>
      <c r="I226" s="76"/>
      <c r="J226" s="214"/>
      <c r="K226" s="157"/>
      <c r="L226" s="76"/>
      <c r="M226" s="78"/>
      <c r="N226" s="76"/>
      <c r="O226" s="76"/>
      <c r="P226" s="76"/>
      <c r="Q226" s="76"/>
    </row>
    <row r="227" spans="1:17" s="91" customFormat="1" ht="12" customHeight="1" x14ac:dyDescent="0.3">
      <c r="A227" s="76"/>
      <c r="B227" s="223"/>
      <c r="C227" s="76"/>
      <c r="D227" s="76"/>
      <c r="E227" s="76"/>
      <c r="F227" s="76"/>
      <c r="G227" s="76"/>
      <c r="H227" s="76"/>
      <c r="I227" s="76"/>
      <c r="J227" s="214"/>
      <c r="K227" s="157"/>
      <c r="L227" s="76"/>
      <c r="M227" s="78"/>
      <c r="N227" s="76"/>
      <c r="O227" s="76"/>
      <c r="P227" s="76"/>
      <c r="Q227" s="76"/>
    </row>
    <row r="228" spans="1:17" s="91" customFormat="1" ht="12" customHeight="1" x14ac:dyDescent="0.3">
      <c r="A228" s="76"/>
      <c r="B228" s="223"/>
      <c r="C228" s="76"/>
      <c r="D228" s="76"/>
      <c r="E228" s="76"/>
      <c r="F228" s="76"/>
      <c r="G228" s="76"/>
      <c r="H228" s="76"/>
      <c r="I228" s="76"/>
      <c r="J228" s="214"/>
      <c r="K228" s="157"/>
      <c r="L228" s="76"/>
      <c r="M228" s="78"/>
      <c r="N228" s="76"/>
      <c r="O228" s="76"/>
      <c r="P228" s="76"/>
      <c r="Q228" s="76"/>
    </row>
    <row r="229" spans="1:17" s="91" customFormat="1" ht="12" customHeight="1" x14ac:dyDescent="0.3">
      <c r="A229" s="76"/>
      <c r="B229" s="223"/>
      <c r="C229" s="76"/>
      <c r="D229" s="76"/>
      <c r="E229" s="76"/>
      <c r="F229" s="76"/>
      <c r="G229" s="76"/>
      <c r="H229" s="76"/>
      <c r="I229" s="76"/>
      <c r="J229" s="214"/>
      <c r="K229" s="157"/>
      <c r="L229" s="76"/>
      <c r="M229" s="78"/>
      <c r="N229" s="76"/>
      <c r="O229" s="76"/>
      <c r="P229" s="76"/>
      <c r="Q229" s="76"/>
    </row>
    <row r="230" spans="1:17" s="91" customFormat="1" ht="12" customHeight="1" x14ac:dyDescent="0.3">
      <c r="A230" s="76"/>
      <c r="B230" s="223"/>
      <c r="C230" s="76"/>
      <c r="D230" s="76"/>
      <c r="E230" s="76"/>
      <c r="F230" s="76"/>
      <c r="G230" s="76"/>
      <c r="H230" s="76"/>
      <c r="I230" s="76"/>
      <c r="J230" s="214"/>
      <c r="K230" s="157"/>
      <c r="L230" s="76"/>
      <c r="M230" s="78"/>
      <c r="N230" s="76"/>
      <c r="O230" s="76"/>
      <c r="P230" s="76"/>
      <c r="Q230" s="76"/>
    </row>
    <row r="231" spans="1:17" s="91" customFormat="1" ht="12" customHeight="1" x14ac:dyDescent="0.3">
      <c r="A231" s="109"/>
      <c r="B231" s="223"/>
      <c r="C231" s="76"/>
      <c r="D231" s="76"/>
      <c r="E231" s="76"/>
      <c r="F231" s="76"/>
      <c r="G231" s="76"/>
      <c r="H231" s="76"/>
      <c r="I231" s="76"/>
      <c r="J231" s="214"/>
      <c r="K231" s="157"/>
      <c r="L231" s="76"/>
      <c r="M231" s="78"/>
      <c r="N231" s="76"/>
      <c r="O231" s="76"/>
      <c r="P231" s="76"/>
      <c r="Q231" s="76"/>
    </row>
    <row r="232" spans="1:17" s="91" customFormat="1" ht="12" customHeight="1" x14ac:dyDescent="0.3">
      <c r="A232" s="109"/>
      <c r="B232" s="223"/>
      <c r="C232" s="76"/>
      <c r="D232" s="76"/>
      <c r="E232" s="76"/>
      <c r="F232" s="76"/>
      <c r="G232" s="76"/>
      <c r="H232" s="76"/>
      <c r="I232" s="76"/>
      <c r="J232" s="214"/>
      <c r="K232" s="157"/>
      <c r="L232" s="76"/>
      <c r="M232" s="78"/>
      <c r="N232" s="76"/>
      <c r="O232" s="76"/>
      <c r="P232" s="76"/>
      <c r="Q232" s="76"/>
    </row>
    <row r="233" spans="1:17" s="91" customFormat="1" ht="12" customHeight="1" x14ac:dyDescent="0.3">
      <c r="A233" s="109"/>
      <c r="B233" s="109"/>
      <c r="C233" s="109"/>
      <c r="D233" s="110"/>
      <c r="E233" s="76"/>
      <c r="F233" s="76"/>
      <c r="G233" s="76"/>
      <c r="H233" s="76"/>
      <c r="I233" s="76"/>
      <c r="J233" s="214"/>
      <c r="K233" s="157"/>
      <c r="L233" s="76"/>
      <c r="M233" s="78"/>
      <c r="N233" s="76"/>
      <c r="O233" s="76"/>
      <c r="P233" s="76"/>
      <c r="Q233" s="76"/>
    </row>
    <row r="234" spans="1:17" s="91" customFormat="1" ht="12" customHeight="1" x14ac:dyDescent="0.3">
      <c r="A234" s="109"/>
      <c r="B234" s="109"/>
      <c r="C234" s="109"/>
      <c r="D234" s="110"/>
      <c r="E234" s="76"/>
      <c r="F234" s="76"/>
      <c r="G234" s="76"/>
      <c r="H234" s="76"/>
      <c r="I234" s="76"/>
      <c r="J234" s="214"/>
      <c r="K234" s="157"/>
      <c r="L234" s="76"/>
      <c r="M234" s="78"/>
      <c r="N234" s="76"/>
      <c r="O234" s="76"/>
      <c r="P234" s="76"/>
      <c r="Q234" s="76"/>
    </row>
    <row r="235" spans="1:17" s="91" customFormat="1" ht="12" customHeight="1" x14ac:dyDescent="0.3">
      <c r="A235" s="109"/>
      <c r="B235" s="109"/>
      <c r="C235" s="109"/>
      <c r="D235" s="110"/>
      <c r="E235" s="76"/>
      <c r="F235" s="76"/>
      <c r="G235" s="76"/>
      <c r="H235" s="76"/>
      <c r="I235" s="76"/>
      <c r="J235" s="214"/>
      <c r="K235" s="157"/>
      <c r="L235" s="76"/>
      <c r="M235" s="78"/>
      <c r="N235" s="76"/>
      <c r="O235" s="76"/>
      <c r="P235" s="76"/>
      <c r="Q235" s="76"/>
    </row>
    <row r="236" spans="1:17" s="91" customFormat="1" ht="12" customHeight="1" x14ac:dyDescent="0.3">
      <c r="A236" s="109"/>
      <c r="B236" s="109"/>
      <c r="C236" s="109"/>
      <c r="D236" s="110"/>
      <c r="E236" s="76"/>
      <c r="F236" s="76"/>
      <c r="G236" s="76"/>
      <c r="H236" s="76"/>
      <c r="I236" s="76"/>
      <c r="J236" s="214"/>
      <c r="K236" s="157"/>
      <c r="L236" s="76"/>
      <c r="M236" s="78"/>
      <c r="N236" s="76"/>
      <c r="O236" s="76"/>
      <c r="P236" s="76"/>
      <c r="Q236" s="76"/>
    </row>
    <row r="237" spans="1:17" s="91" customFormat="1" ht="12" customHeight="1" x14ac:dyDescent="0.3">
      <c r="A237" s="109"/>
      <c r="B237" s="109"/>
      <c r="C237" s="109"/>
      <c r="D237" s="109"/>
      <c r="E237" s="76"/>
      <c r="F237" s="88"/>
      <c r="G237" s="88"/>
      <c r="H237" s="88"/>
      <c r="I237" s="88"/>
      <c r="J237" s="76"/>
      <c r="K237" s="157"/>
      <c r="L237" s="76"/>
      <c r="M237" s="78"/>
      <c r="N237" s="76"/>
      <c r="O237" s="76"/>
      <c r="P237" s="76"/>
      <c r="Q237" s="76"/>
    </row>
    <row r="238" spans="1:17" s="91" customFormat="1" ht="12" customHeight="1" x14ac:dyDescent="0.3">
      <c r="A238" s="107"/>
      <c r="B238" s="109"/>
      <c r="C238" s="109"/>
      <c r="D238" s="109"/>
      <c r="E238" s="76"/>
      <c r="F238" s="76"/>
      <c r="G238" s="76"/>
      <c r="H238" s="76"/>
      <c r="I238" s="76"/>
      <c r="J238" s="76"/>
      <c r="K238" s="157"/>
      <c r="L238" s="76"/>
      <c r="M238" s="78"/>
      <c r="N238" s="76"/>
      <c r="O238" s="76"/>
      <c r="P238" s="76"/>
      <c r="Q238" s="76"/>
    </row>
    <row r="239" spans="1:17" s="91" customFormat="1" ht="12" customHeight="1" x14ac:dyDescent="0.3">
      <c r="A239" s="295" t="e">
        <f>(F15-#REF!)*12%</f>
        <v>#REF!</v>
      </c>
      <c r="B239" s="109"/>
      <c r="C239" s="109"/>
      <c r="D239" s="296"/>
      <c r="E239" s="297"/>
      <c r="F239" s="297"/>
      <c r="G239" s="297"/>
      <c r="H239" s="297"/>
      <c r="I239" s="298"/>
      <c r="J239" s="76"/>
      <c r="K239" s="157"/>
      <c r="L239" s="76"/>
      <c r="M239" s="78"/>
      <c r="N239" s="76"/>
      <c r="O239" s="76"/>
      <c r="P239" s="76"/>
      <c r="Q239" s="76"/>
    </row>
    <row r="240" spans="1:17" s="91" customFormat="1" ht="12" customHeight="1" x14ac:dyDescent="0.3">
      <c r="A240" s="299"/>
      <c r="B240" s="109"/>
      <c r="C240" s="109"/>
      <c r="D240" s="296"/>
      <c r="E240" s="297"/>
      <c r="F240" s="297"/>
      <c r="G240" s="297"/>
      <c r="H240" s="297"/>
      <c r="I240" s="300"/>
      <c r="J240" s="76"/>
      <c r="K240" s="157"/>
      <c r="L240" s="76"/>
      <c r="M240" s="78"/>
      <c r="N240" s="76"/>
      <c r="O240" s="76"/>
      <c r="P240" s="76"/>
      <c r="Q240" s="76"/>
    </row>
    <row r="241" spans="1:17" s="91" customFormat="1" ht="12" customHeight="1" x14ac:dyDescent="0.3">
      <c r="A241" s="107"/>
      <c r="B241" s="295"/>
      <c r="C241" s="107"/>
      <c r="D241" s="301"/>
      <c r="E241" s="302"/>
      <c r="F241" s="303"/>
      <c r="G241" s="303"/>
      <c r="H241" s="303"/>
      <c r="I241" s="298"/>
      <c r="J241" s="76"/>
      <c r="K241" s="157"/>
      <c r="L241" s="76"/>
      <c r="M241" s="78"/>
      <c r="N241" s="76"/>
      <c r="O241" s="76"/>
      <c r="P241" s="76"/>
      <c r="Q241" s="76"/>
    </row>
    <row r="242" spans="1:17" s="91" customFormat="1" ht="17.25" customHeight="1" x14ac:dyDescent="0.3">
      <c r="B242" s="107"/>
      <c r="C242" s="107"/>
      <c r="D242" s="301"/>
      <c r="F242" s="303"/>
      <c r="G242" s="303"/>
      <c r="H242" s="303"/>
      <c r="I242" s="304"/>
      <c r="J242" s="76"/>
      <c r="K242" s="157"/>
      <c r="L242" s="76"/>
      <c r="M242" s="78"/>
      <c r="N242" s="76"/>
      <c r="O242" s="76"/>
      <c r="P242" s="76"/>
      <c r="Q242" s="76"/>
    </row>
    <row r="243" spans="1:17" s="91" customFormat="1" ht="15.75" customHeight="1" x14ac:dyDescent="0.3">
      <c r="B243" s="107"/>
      <c r="C243" s="107"/>
      <c r="D243" s="301"/>
      <c r="E243" s="302"/>
      <c r="F243" s="302"/>
      <c r="G243" s="302"/>
      <c r="H243" s="302"/>
      <c r="J243" s="76"/>
      <c r="K243" s="157"/>
      <c r="L243" s="76"/>
      <c r="M243" s="78"/>
      <c r="N243" s="76"/>
      <c r="O243" s="76"/>
      <c r="P243" s="76"/>
      <c r="Q243" s="76"/>
    </row>
    <row r="244" spans="1:17" s="91" customFormat="1" ht="12.75" customHeight="1" x14ac:dyDescent="0.3">
      <c r="D244" s="305"/>
      <c r="E244" s="302"/>
      <c r="F244" s="302"/>
      <c r="G244" s="302"/>
      <c r="H244" s="302"/>
      <c r="J244" s="76"/>
      <c r="K244" s="157"/>
      <c r="L244" s="76"/>
      <c r="M244" s="78"/>
      <c r="N244" s="76"/>
      <c r="O244" s="76"/>
      <c r="P244" s="76"/>
      <c r="Q244" s="76"/>
    </row>
    <row r="245" spans="1:17" s="91" customFormat="1" ht="12.75" customHeight="1" x14ac:dyDescent="0.3">
      <c r="D245" s="305"/>
      <c r="E245" s="302"/>
      <c r="F245" s="302"/>
      <c r="G245" s="302"/>
      <c r="H245" s="302"/>
      <c r="K245" s="157"/>
      <c r="L245" s="76"/>
      <c r="M245" s="78"/>
      <c r="N245" s="76"/>
      <c r="O245" s="76"/>
      <c r="P245" s="76"/>
      <c r="Q245" s="76"/>
    </row>
    <row r="246" spans="1:17" s="91" customFormat="1" ht="12.75" customHeight="1" x14ac:dyDescent="0.3">
      <c r="D246" s="305"/>
      <c r="E246" s="302"/>
      <c r="F246" s="302"/>
      <c r="G246" s="302"/>
      <c r="H246" s="302"/>
      <c r="K246" s="157"/>
      <c r="L246" s="76"/>
      <c r="M246" s="78"/>
      <c r="N246" s="76"/>
      <c r="O246" s="76"/>
      <c r="P246" s="76"/>
      <c r="Q246" s="76"/>
    </row>
    <row r="247" spans="1:17" s="91" customFormat="1" ht="12.75" customHeight="1" x14ac:dyDescent="0.3">
      <c r="D247" s="305"/>
      <c r="E247" s="302"/>
      <c r="F247" s="302"/>
      <c r="G247" s="302"/>
      <c r="H247" s="302"/>
      <c r="J247" s="229"/>
      <c r="K247" s="157"/>
      <c r="L247" s="76"/>
      <c r="M247" s="78"/>
      <c r="N247" s="76"/>
      <c r="O247" s="76"/>
      <c r="P247" s="76"/>
      <c r="Q247" s="76"/>
    </row>
    <row r="248" spans="1:17" s="91" customFormat="1" ht="12.75" customHeight="1" x14ac:dyDescent="0.3">
      <c r="D248" s="305"/>
      <c r="E248" s="302"/>
      <c r="F248" s="302"/>
      <c r="G248" s="302"/>
      <c r="H248" s="302"/>
      <c r="J248" s="298"/>
      <c r="K248" s="157"/>
      <c r="L248" s="76"/>
      <c r="M248" s="78"/>
      <c r="N248" s="76"/>
      <c r="O248" s="76"/>
      <c r="P248" s="76"/>
      <c r="Q248" s="76"/>
    </row>
    <row r="249" spans="1:17" s="91" customFormat="1" ht="12.75" customHeight="1" x14ac:dyDescent="0.3">
      <c r="D249" s="305"/>
      <c r="E249" s="302"/>
      <c r="F249" s="302"/>
      <c r="G249" s="302"/>
      <c r="H249" s="302"/>
      <c r="J249" s="300"/>
      <c r="K249" s="157"/>
      <c r="L249" s="76"/>
      <c r="M249" s="78"/>
      <c r="N249" s="76"/>
      <c r="O249" s="76"/>
      <c r="P249" s="76"/>
      <c r="Q249" s="76"/>
    </row>
    <row r="250" spans="1:17" s="91" customFormat="1" ht="12.75" customHeight="1" x14ac:dyDescent="0.3">
      <c r="D250" s="305"/>
      <c r="E250" s="302"/>
      <c r="F250" s="302"/>
      <c r="G250" s="302"/>
      <c r="H250" s="302"/>
      <c r="J250" s="298"/>
      <c r="K250" s="157"/>
      <c r="L250" s="76"/>
      <c r="M250" s="78"/>
      <c r="N250" s="76"/>
      <c r="O250" s="76"/>
      <c r="P250" s="76"/>
      <c r="Q250" s="76"/>
    </row>
    <row r="251" spans="1:17" s="91" customFormat="1" ht="12.75" customHeight="1" x14ac:dyDescent="0.3">
      <c r="D251" s="305"/>
      <c r="E251" s="302"/>
      <c r="F251" s="302"/>
      <c r="G251" s="302"/>
      <c r="H251" s="302"/>
      <c r="J251" s="304"/>
      <c r="K251" s="157"/>
      <c r="L251" s="76"/>
      <c r="M251" s="78"/>
      <c r="N251" s="76"/>
      <c r="O251" s="76"/>
      <c r="P251" s="76"/>
      <c r="Q251" s="76"/>
    </row>
    <row r="252" spans="1:17" s="91" customFormat="1" ht="12.75" customHeight="1" x14ac:dyDescent="0.3">
      <c r="D252" s="305"/>
      <c r="E252" s="302"/>
      <c r="F252" s="302"/>
      <c r="G252" s="302"/>
      <c r="H252" s="302"/>
      <c r="K252" s="157"/>
      <c r="L252" s="76"/>
      <c r="M252" s="78"/>
      <c r="N252" s="76"/>
      <c r="O252" s="76"/>
      <c r="P252" s="76"/>
      <c r="Q252" s="76"/>
    </row>
    <row r="253" spans="1:17" s="91" customFormat="1" ht="12.75" customHeight="1" x14ac:dyDescent="0.3">
      <c r="D253" s="305"/>
      <c r="E253" s="302"/>
      <c r="F253" s="302"/>
      <c r="G253" s="302"/>
      <c r="H253" s="302"/>
      <c r="K253" s="76"/>
      <c r="L253" s="76"/>
      <c r="M253" s="78"/>
      <c r="N253" s="76"/>
      <c r="O253" s="76"/>
      <c r="P253" s="76"/>
      <c r="Q253" s="76"/>
    </row>
    <row r="254" spans="1:17" s="91" customFormat="1" ht="12.75" customHeight="1" x14ac:dyDescent="0.3">
      <c r="D254" s="305"/>
      <c r="E254" s="302"/>
      <c r="F254" s="302"/>
      <c r="G254" s="302"/>
      <c r="H254" s="302"/>
      <c r="K254" s="76"/>
      <c r="L254" s="76"/>
      <c r="M254" s="88"/>
      <c r="N254" s="76"/>
      <c r="O254" s="76"/>
      <c r="P254" s="76"/>
      <c r="Q254" s="76"/>
    </row>
    <row r="255" spans="1:17" s="91" customFormat="1" ht="12.75" customHeight="1" x14ac:dyDescent="0.3">
      <c r="D255" s="305"/>
      <c r="E255" s="302"/>
      <c r="F255" s="302"/>
      <c r="G255" s="302"/>
      <c r="H255" s="302"/>
      <c r="K255" s="76"/>
      <c r="L255" s="76"/>
      <c r="M255" s="88"/>
      <c r="N255" s="76"/>
      <c r="O255" s="76"/>
      <c r="P255" s="76"/>
      <c r="Q255" s="76"/>
    </row>
    <row r="256" spans="1:17" s="91" customFormat="1" ht="12.75" customHeight="1" x14ac:dyDescent="0.3">
      <c r="D256" s="305"/>
      <c r="E256" s="302"/>
      <c r="F256" s="302"/>
      <c r="G256" s="302"/>
      <c r="H256" s="302"/>
      <c r="K256" s="76"/>
      <c r="L256" s="76"/>
      <c r="M256" s="88"/>
      <c r="N256" s="76"/>
      <c r="O256" s="76"/>
      <c r="P256" s="76"/>
      <c r="Q256" s="76"/>
    </row>
    <row r="257" spans="4:17" s="91" customFormat="1" ht="12.75" customHeight="1" x14ac:dyDescent="0.3">
      <c r="D257" s="305"/>
      <c r="E257" s="302"/>
      <c r="F257" s="302"/>
      <c r="G257" s="302"/>
      <c r="H257" s="302"/>
      <c r="K257" s="418"/>
      <c r="L257" s="418"/>
      <c r="M257" s="418"/>
      <c r="N257" s="76"/>
      <c r="O257" s="76"/>
      <c r="P257" s="418"/>
      <c r="Q257" s="418"/>
    </row>
    <row r="258" spans="4:17" s="91" customFormat="1" ht="12.75" customHeight="1" x14ac:dyDescent="0.3">
      <c r="D258" s="305"/>
      <c r="E258" s="302"/>
      <c r="F258" s="302"/>
      <c r="G258" s="302"/>
      <c r="H258" s="302"/>
      <c r="K258" s="76"/>
      <c r="L258" s="419"/>
      <c r="M258" s="419"/>
      <c r="N258" s="76"/>
      <c r="O258" s="76"/>
      <c r="P258" s="76"/>
      <c r="Q258" s="76"/>
    </row>
    <row r="259" spans="4:17" s="91" customFormat="1" ht="12.75" customHeight="1" x14ac:dyDescent="0.3">
      <c r="D259" s="305"/>
      <c r="E259" s="302"/>
      <c r="F259" s="302"/>
      <c r="G259" s="302"/>
      <c r="H259" s="302"/>
      <c r="K259" s="298"/>
      <c r="L259" s="116"/>
      <c r="M259" s="76"/>
      <c r="N259" s="76"/>
      <c r="O259" s="76"/>
      <c r="P259" s="76"/>
      <c r="Q259" s="76"/>
    </row>
    <row r="260" spans="4:17" s="91" customFormat="1" ht="12.75" customHeight="1" x14ac:dyDescent="0.3">
      <c r="D260" s="305"/>
      <c r="E260" s="302"/>
      <c r="F260" s="302"/>
      <c r="G260" s="302"/>
      <c r="H260" s="302"/>
      <c r="K260" s="300"/>
      <c r="L260" s="116"/>
      <c r="M260" s="76"/>
      <c r="N260" s="76"/>
      <c r="O260" s="76"/>
      <c r="P260" s="76"/>
      <c r="Q260" s="76"/>
    </row>
    <row r="261" spans="4:17" s="91" customFormat="1" ht="12.75" customHeight="1" x14ac:dyDescent="0.3">
      <c r="D261" s="305"/>
      <c r="E261" s="302"/>
      <c r="F261" s="302"/>
      <c r="G261" s="302"/>
      <c r="H261" s="302"/>
      <c r="K261" s="298"/>
      <c r="L261" s="304"/>
    </row>
    <row r="262" spans="4:17" s="91" customFormat="1" ht="12.75" customHeight="1" x14ac:dyDescent="0.3">
      <c r="D262" s="305"/>
      <c r="E262" s="302"/>
      <c r="F262" s="302"/>
      <c r="G262" s="302"/>
      <c r="H262" s="302"/>
      <c r="K262" s="229"/>
      <c r="L262" s="304"/>
    </row>
    <row r="263" spans="4:17" s="91" customFormat="1" ht="12.75" customHeight="1" x14ac:dyDescent="0.3">
      <c r="D263" s="305"/>
      <c r="E263" s="302"/>
      <c r="F263" s="302"/>
      <c r="G263" s="302"/>
      <c r="H263" s="302"/>
      <c r="K263" s="93"/>
    </row>
    <row r="264" spans="4:17" s="91" customFormat="1" ht="12.75" customHeight="1" x14ac:dyDescent="0.3">
      <c r="D264" s="305"/>
      <c r="E264" s="302"/>
      <c r="F264" s="302"/>
      <c r="G264" s="302"/>
      <c r="H264" s="302"/>
      <c r="K264" s="93"/>
    </row>
    <row r="265" spans="4:17" s="91" customFormat="1" ht="12.75" customHeight="1" x14ac:dyDescent="0.3">
      <c r="D265" s="305"/>
      <c r="E265" s="302"/>
      <c r="F265" s="302"/>
      <c r="G265" s="302"/>
      <c r="H265" s="302"/>
      <c r="K265" s="93"/>
    </row>
    <row r="266" spans="4:17" s="91" customFormat="1" ht="12.75" customHeight="1" x14ac:dyDescent="0.3">
      <c r="D266" s="305"/>
      <c r="E266" s="302"/>
      <c r="F266" s="302"/>
      <c r="G266" s="302"/>
      <c r="H266" s="302"/>
      <c r="K266" s="93"/>
    </row>
    <row r="267" spans="4:17" s="91" customFormat="1" ht="12.75" customHeight="1" x14ac:dyDescent="0.3">
      <c r="D267" s="305"/>
      <c r="E267" s="302"/>
      <c r="F267" s="302"/>
      <c r="G267" s="302"/>
      <c r="H267" s="302"/>
      <c r="K267" s="93"/>
    </row>
    <row r="268" spans="4:17" s="91" customFormat="1" ht="12.75" customHeight="1" x14ac:dyDescent="0.3">
      <c r="D268" s="305"/>
      <c r="E268" s="302"/>
      <c r="F268" s="302"/>
      <c r="G268" s="302"/>
      <c r="H268" s="302"/>
      <c r="K268" s="93"/>
    </row>
    <row r="269" spans="4:17" s="91" customFormat="1" ht="12.75" customHeight="1" x14ac:dyDescent="0.3">
      <c r="D269" s="305"/>
      <c r="E269" s="302"/>
      <c r="F269" s="302"/>
      <c r="G269" s="302"/>
      <c r="H269" s="302"/>
      <c r="K269" s="93"/>
    </row>
    <row r="270" spans="4:17" s="91" customFormat="1" ht="12.75" customHeight="1" x14ac:dyDescent="0.3">
      <c r="D270" s="305"/>
      <c r="E270" s="302"/>
      <c r="F270" s="302"/>
      <c r="G270" s="302"/>
      <c r="H270" s="302"/>
      <c r="K270" s="93"/>
    </row>
    <row r="271" spans="4:17" s="91" customFormat="1" ht="12.75" customHeight="1" x14ac:dyDescent="0.3">
      <c r="D271" s="305"/>
      <c r="E271" s="302"/>
      <c r="F271" s="302"/>
      <c r="G271" s="302"/>
      <c r="H271" s="302"/>
      <c r="K271" s="93"/>
    </row>
    <row r="272" spans="4:17" s="91" customFormat="1" ht="12.75" customHeight="1" x14ac:dyDescent="0.3">
      <c r="D272" s="305"/>
      <c r="E272" s="302"/>
      <c r="F272" s="302"/>
      <c r="G272" s="302"/>
      <c r="H272" s="302"/>
      <c r="K272" s="93"/>
    </row>
    <row r="273" spans="4:12" s="91" customFormat="1" ht="12.75" customHeight="1" x14ac:dyDescent="0.3">
      <c r="D273" s="305"/>
      <c r="E273" s="302"/>
      <c r="F273" s="302"/>
      <c r="G273" s="302"/>
      <c r="H273" s="302"/>
      <c r="K273" s="93"/>
    </row>
    <row r="274" spans="4:12" s="91" customFormat="1" ht="12.75" customHeight="1" x14ac:dyDescent="0.3">
      <c r="D274" s="305"/>
      <c r="E274" s="302"/>
      <c r="F274" s="302"/>
      <c r="G274" s="302"/>
      <c r="H274" s="302"/>
      <c r="K274" s="93"/>
    </row>
    <row r="275" spans="4:12" s="91" customFormat="1" ht="12.75" customHeight="1" x14ac:dyDescent="0.3">
      <c r="D275" s="305"/>
      <c r="E275" s="302"/>
      <c r="F275" s="302"/>
      <c r="G275" s="302"/>
      <c r="H275" s="302"/>
      <c r="L275" s="93"/>
    </row>
    <row r="276" spans="4:12" s="91" customFormat="1" ht="12.75" customHeight="1" x14ac:dyDescent="0.3">
      <c r="D276" s="305"/>
      <c r="E276" s="302"/>
      <c r="F276" s="302"/>
      <c r="G276" s="302"/>
      <c r="H276" s="302"/>
      <c r="L276" s="93"/>
    </row>
    <row r="277" spans="4:12" s="91" customFormat="1" ht="12.75" customHeight="1" x14ac:dyDescent="0.3">
      <c r="D277" s="305"/>
      <c r="E277" s="302"/>
      <c r="F277" s="302"/>
      <c r="G277" s="302"/>
      <c r="H277" s="302"/>
      <c r="L277" s="93"/>
    </row>
    <row r="278" spans="4:12" s="91" customFormat="1" ht="12.75" customHeight="1" x14ac:dyDescent="0.3">
      <c r="D278" s="305"/>
      <c r="E278" s="302"/>
      <c r="F278" s="302"/>
      <c r="G278" s="302"/>
      <c r="H278" s="302"/>
      <c r="L278" s="93"/>
    </row>
    <row r="279" spans="4:12" s="91" customFormat="1" ht="12.75" customHeight="1" x14ac:dyDescent="0.3">
      <c r="D279" s="305"/>
      <c r="E279" s="302"/>
      <c r="F279" s="302"/>
      <c r="G279" s="302"/>
      <c r="H279" s="302"/>
      <c r="L279" s="93"/>
    </row>
    <row r="280" spans="4:12" s="91" customFormat="1" ht="12.75" customHeight="1" x14ac:dyDescent="0.3">
      <c r="D280" s="305"/>
      <c r="E280" s="302"/>
      <c r="F280" s="302"/>
      <c r="G280" s="302"/>
      <c r="H280" s="302"/>
      <c r="L280" s="93"/>
    </row>
    <row r="281" spans="4:12" s="91" customFormat="1" ht="12.75" customHeight="1" x14ac:dyDescent="0.3">
      <c r="D281" s="305"/>
      <c r="E281" s="302"/>
      <c r="F281" s="302"/>
      <c r="G281" s="302"/>
      <c r="H281" s="302"/>
      <c r="L281" s="93"/>
    </row>
    <row r="282" spans="4:12" s="91" customFormat="1" ht="12.75" customHeight="1" x14ac:dyDescent="0.3">
      <c r="D282" s="305"/>
      <c r="E282" s="302"/>
      <c r="F282" s="302"/>
      <c r="G282" s="302"/>
      <c r="H282" s="302"/>
      <c r="L282" s="93"/>
    </row>
    <row r="283" spans="4:12" s="91" customFormat="1" ht="12.75" customHeight="1" x14ac:dyDescent="0.3">
      <c r="D283" s="305"/>
      <c r="E283" s="302"/>
      <c r="F283" s="302"/>
      <c r="G283" s="302"/>
      <c r="H283" s="302"/>
      <c r="L283" s="93"/>
    </row>
    <row r="284" spans="4:12" s="91" customFormat="1" ht="12.75" customHeight="1" x14ac:dyDescent="0.3">
      <c r="D284" s="305"/>
      <c r="E284" s="302"/>
      <c r="F284" s="302"/>
      <c r="G284" s="302"/>
      <c r="H284" s="302"/>
      <c r="L284" s="93"/>
    </row>
    <row r="285" spans="4:12" s="91" customFormat="1" ht="12.75" customHeight="1" x14ac:dyDescent="0.3">
      <c r="D285" s="305"/>
      <c r="E285" s="302"/>
      <c r="F285" s="302"/>
      <c r="G285" s="302"/>
      <c r="H285" s="302"/>
      <c r="L285" s="93"/>
    </row>
    <row r="286" spans="4:12" s="91" customFormat="1" ht="12.75" customHeight="1" x14ac:dyDescent="0.3">
      <c r="D286" s="305"/>
      <c r="E286" s="302"/>
      <c r="F286" s="302"/>
      <c r="G286" s="302"/>
      <c r="H286" s="302"/>
      <c r="L286" s="93"/>
    </row>
    <row r="287" spans="4:12" s="91" customFormat="1" ht="12.75" customHeight="1" x14ac:dyDescent="0.3">
      <c r="D287" s="305"/>
      <c r="E287" s="302"/>
      <c r="F287" s="302"/>
      <c r="G287" s="302"/>
      <c r="H287" s="302"/>
      <c r="L287" s="93"/>
    </row>
    <row r="288" spans="4:12" s="91" customFormat="1" ht="12.75" customHeight="1" x14ac:dyDescent="0.3">
      <c r="D288" s="305"/>
      <c r="E288" s="302"/>
      <c r="F288" s="302"/>
      <c r="G288" s="302"/>
      <c r="H288" s="302"/>
      <c r="L288" s="93"/>
    </row>
    <row r="289" spans="4:12" s="91" customFormat="1" ht="12.75" customHeight="1" x14ac:dyDescent="0.3">
      <c r="D289" s="305"/>
      <c r="E289" s="302"/>
      <c r="F289" s="302"/>
      <c r="G289" s="302"/>
      <c r="H289" s="302"/>
      <c r="L289" s="93"/>
    </row>
    <row r="290" spans="4:12" s="91" customFormat="1" ht="12.75" customHeight="1" x14ac:dyDescent="0.3">
      <c r="D290" s="305"/>
      <c r="E290" s="302"/>
      <c r="F290" s="302"/>
      <c r="G290" s="302"/>
      <c r="H290" s="302"/>
      <c r="L290" s="93"/>
    </row>
    <row r="291" spans="4:12" s="91" customFormat="1" ht="12.75" customHeight="1" x14ac:dyDescent="0.3">
      <c r="D291" s="305"/>
      <c r="E291" s="302"/>
      <c r="F291" s="302"/>
      <c r="G291" s="302"/>
      <c r="H291" s="302"/>
      <c r="L291" s="93"/>
    </row>
    <row r="292" spans="4:12" s="91" customFormat="1" ht="12.75" customHeight="1" x14ac:dyDescent="0.3">
      <c r="D292" s="305"/>
      <c r="E292" s="302"/>
      <c r="F292" s="302"/>
      <c r="G292" s="302"/>
      <c r="H292" s="302"/>
      <c r="L292" s="93"/>
    </row>
    <row r="293" spans="4:12" s="91" customFormat="1" ht="12.75" customHeight="1" x14ac:dyDescent="0.3">
      <c r="D293" s="305"/>
      <c r="E293" s="302"/>
      <c r="F293" s="302"/>
      <c r="G293" s="302"/>
      <c r="H293" s="302"/>
      <c r="L293" s="93"/>
    </row>
    <row r="294" spans="4:12" s="91" customFormat="1" ht="12.75" customHeight="1" x14ac:dyDescent="0.3">
      <c r="D294" s="305"/>
      <c r="E294" s="302"/>
      <c r="F294" s="302"/>
      <c r="G294" s="302"/>
      <c r="H294" s="302"/>
      <c r="L294" s="93"/>
    </row>
    <row r="295" spans="4:12" s="91" customFormat="1" ht="12.75" customHeight="1" x14ac:dyDescent="0.3">
      <c r="D295" s="305"/>
      <c r="E295" s="302"/>
      <c r="F295" s="302"/>
      <c r="G295" s="302"/>
      <c r="H295" s="302"/>
      <c r="L295" s="93"/>
    </row>
    <row r="296" spans="4:12" s="91" customFormat="1" ht="12.75" customHeight="1" x14ac:dyDescent="0.3">
      <c r="D296" s="305"/>
      <c r="E296" s="302"/>
      <c r="F296" s="302"/>
      <c r="G296" s="302"/>
      <c r="H296" s="302"/>
      <c r="L296" s="93"/>
    </row>
    <row r="297" spans="4:12" s="91" customFormat="1" ht="12.75" customHeight="1" x14ac:dyDescent="0.3">
      <c r="D297" s="305"/>
      <c r="E297" s="302"/>
      <c r="F297" s="302"/>
      <c r="G297" s="302"/>
      <c r="H297" s="302"/>
      <c r="L297" s="93"/>
    </row>
    <row r="298" spans="4:12" s="91" customFormat="1" ht="12.75" customHeight="1" x14ac:dyDescent="0.3">
      <c r="D298" s="305"/>
      <c r="E298" s="302"/>
      <c r="F298" s="302"/>
      <c r="G298" s="302"/>
      <c r="H298" s="302"/>
      <c r="L298" s="93"/>
    </row>
    <row r="299" spans="4:12" s="91" customFormat="1" ht="12.75" customHeight="1" x14ac:dyDescent="0.3">
      <c r="D299" s="305"/>
      <c r="E299" s="302"/>
      <c r="F299" s="302"/>
      <c r="G299" s="302"/>
      <c r="H299" s="302"/>
      <c r="L299" s="93"/>
    </row>
    <row r="300" spans="4:12" s="91" customFormat="1" ht="12.75" customHeight="1" x14ac:dyDescent="0.3">
      <c r="D300" s="305"/>
      <c r="E300" s="302"/>
      <c r="F300" s="302"/>
      <c r="G300" s="302"/>
      <c r="H300" s="302"/>
      <c r="L300" s="93"/>
    </row>
    <row r="301" spans="4:12" s="91" customFormat="1" ht="12.75" customHeight="1" x14ac:dyDescent="0.3">
      <c r="D301" s="305"/>
      <c r="E301" s="302"/>
      <c r="F301" s="302"/>
      <c r="G301" s="302"/>
      <c r="H301" s="302"/>
      <c r="L301" s="93"/>
    </row>
    <row r="302" spans="4:12" s="91" customFormat="1" ht="12.75" customHeight="1" x14ac:dyDescent="0.3">
      <c r="D302" s="305"/>
      <c r="E302" s="302"/>
      <c r="F302" s="302"/>
      <c r="G302" s="302"/>
      <c r="H302" s="302"/>
      <c r="L302" s="93"/>
    </row>
    <row r="303" spans="4:12" s="91" customFormat="1" ht="12.75" customHeight="1" x14ac:dyDescent="0.3">
      <c r="D303" s="305"/>
      <c r="E303" s="302"/>
      <c r="F303" s="302"/>
      <c r="G303" s="302"/>
      <c r="H303" s="302"/>
      <c r="L303" s="93"/>
    </row>
    <row r="304" spans="4:12" s="91" customFormat="1" ht="12.75" customHeight="1" x14ac:dyDescent="0.3">
      <c r="D304" s="305"/>
      <c r="E304" s="302"/>
      <c r="F304" s="302"/>
      <c r="G304" s="302"/>
      <c r="H304" s="302"/>
      <c r="L304" s="93"/>
    </row>
    <row r="305" spans="4:12" s="91" customFormat="1" ht="12.75" customHeight="1" x14ac:dyDescent="0.3">
      <c r="D305" s="305"/>
      <c r="E305" s="302"/>
      <c r="F305" s="302"/>
      <c r="G305" s="302"/>
      <c r="H305" s="302"/>
      <c r="L305" s="93"/>
    </row>
    <row r="306" spans="4:12" s="91" customFormat="1" ht="12.75" customHeight="1" x14ac:dyDescent="0.3">
      <c r="D306" s="305"/>
      <c r="E306" s="302"/>
      <c r="F306" s="302"/>
      <c r="G306" s="302"/>
      <c r="H306" s="302"/>
      <c r="L306" s="93"/>
    </row>
    <row r="307" spans="4:12" s="91" customFormat="1" ht="12.75" customHeight="1" x14ac:dyDescent="0.3">
      <c r="D307" s="305"/>
      <c r="E307" s="302"/>
      <c r="F307" s="302"/>
      <c r="G307" s="302"/>
      <c r="H307" s="302"/>
      <c r="L307" s="93"/>
    </row>
    <row r="308" spans="4:12" s="91" customFormat="1" ht="12.75" customHeight="1" x14ac:dyDescent="0.3">
      <c r="D308" s="305"/>
      <c r="E308" s="302"/>
      <c r="F308" s="302"/>
      <c r="G308" s="302"/>
      <c r="H308" s="302"/>
      <c r="L308" s="93"/>
    </row>
    <row r="309" spans="4:12" s="91" customFormat="1" ht="12.75" customHeight="1" x14ac:dyDescent="0.3">
      <c r="D309" s="305"/>
      <c r="E309" s="302"/>
      <c r="F309" s="302"/>
      <c r="G309" s="302"/>
      <c r="H309" s="302"/>
      <c r="L309" s="93"/>
    </row>
    <row r="310" spans="4:12" s="91" customFormat="1" ht="12.75" customHeight="1" x14ac:dyDescent="0.3">
      <c r="D310" s="305"/>
      <c r="E310" s="302"/>
      <c r="F310" s="302"/>
      <c r="G310" s="302"/>
      <c r="H310" s="302"/>
      <c r="L310" s="93"/>
    </row>
    <row r="311" spans="4:12" s="91" customFormat="1" ht="12.75" customHeight="1" x14ac:dyDescent="0.3">
      <c r="D311" s="305"/>
      <c r="E311" s="302"/>
      <c r="F311" s="302"/>
      <c r="G311" s="302"/>
      <c r="H311" s="302"/>
      <c r="L311" s="93"/>
    </row>
    <row r="312" spans="4:12" s="91" customFormat="1" ht="12.75" customHeight="1" x14ac:dyDescent="0.3">
      <c r="D312" s="305"/>
      <c r="E312" s="302"/>
      <c r="F312" s="302"/>
      <c r="G312" s="302"/>
      <c r="H312" s="302"/>
      <c r="L312" s="93"/>
    </row>
    <row r="313" spans="4:12" s="91" customFormat="1" ht="12.75" customHeight="1" x14ac:dyDescent="0.3">
      <c r="D313" s="305"/>
      <c r="E313" s="302"/>
      <c r="F313" s="302"/>
      <c r="G313" s="302"/>
      <c r="H313" s="302"/>
      <c r="L313" s="93"/>
    </row>
    <row r="314" spans="4:12" s="91" customFormat="1" ht="12.75" customHeight="1" x14ac:dyDescent="0.3">
      <c r="D314" s="305"/>
      <c r="E314" s="302"/>
      <c r="F314" s="302"/>
      <c r="G314" s="302"/>
      <c r="H314" s="302"/>
      <c r="L314" s="93"/>
    </row>
    <row r="315" spans="4:12" s="91" customFormat="1" ht="12.75" customHeight="1" x14ac:dyDescent="0.3">
      <c r="D315" s="305"/>
      <c r="E315" s="302"/>
      <c r="F315" s="302"/>
      <c r="G315" s="302"/>
      <c r="H315" s="302"/>
      <c r="L315" s="93"/>
    </row>
    <row r="316" spans="4:12" s="91" customFormat="1" ht="12.75" customHeight="1" x14ac:dyDescent="0.3">
      <c r="D316" s="305"/>
      <c r="E316" s="302"/>
      <c r="F316" s="302"/>
      <c r="G316" s="302"/>
      <c r="H316" s="302"/>
      <c r="L316" s="93"/>
    </row>
    <row r="317" spans="4:12" s="91" customFormat="1" ht="12.75" customHeight="1" x14ac:dyDescent="0.3">
      <c r="D317" s="305"/>
      <c r="E317" s="302"/>
      <c r="F317" s="302"/>
      <c r="G317" s="302"/>
      <c r="H317" s="302"/>
      <c r="L317" s="93"/>
    </row>
    <row r="318" spans="4:12" s="91" customFormat="1" ht="12.75" customHeight="1" x14ac:dyDescent="0.3">
      <c r="D318" s="305"/>
      <c r="E318" s="302"/>
      <c r="F318" s="302"/>
      <c r="G318" s="302"/>
      <c r="H318" s="302"/>
      <c r="L318" s="93"/>
    </row>
    <row r="319" spans="4:12" s="91" customFormat="1" ht="12.75" customHeight="1" x14ac:dyDescent="0.3">
      <c r="D319" s="305"/>
      <c r="E319" s="302"/>
      <c r="F319" s="302"/>
      <c r="G319" s="302"/>
      <c r="H319" s="302"/>
      <c r="L319" s="93"/>
    </row>
    <row r="320" spans="4:12" s="91" customFormat="1" ht="12.75" customHeight="1" x14ac:dyDescent="0.3">
      <c r="D320" s="305"/>
      <c r="E320" s="302"/>
      <c r="F320" s="302"/>
      <c r="G320" s="302"/>
      <c r="H320" s="302"/>
      <c r="L320" s="93"/>
    </row>
    <row r="321" spans="4:12" s="91" customFormat="1" ht="12.75" customHeight="1" x14ac:dyDescent="0.3">
      <c r="D321" s="305"/>
      <c r="E321" s="302"/>
      <c r="F321" s="302"/>
      <c r="G321" s="302"/>
      <c r="H321" s="302"/>
      <c r="L321" s="93"/>
    </row>
    <row r="322" spans="4:12" s="91" customFormat="1" ht="12.75" customHeight="1" x14ac:dyDescent="0.3">
      <c r="D322" s="305"/>
      <c r="E322" s="302"/>
      <c r="F322" s="302"/>
      <c r="G322" s="302"/>
      <c r="H322" s="302"/>
      <c r="L322" s="93"/>
    </row>
    <row r="323" spans="4:12" s="91" customFormat="1" ht="12.75" customHeight="1" x14ac:dyDescent="0.3">
      <c r="D323" s="305"/>
      <c r="E323" s="302"/>
      <c r="F323" s="302"/>
      <c r="G323" s="302"/>
      <c r="H323" s="302"/>
      <c r="L323" s="93"/>
    </row>
    <row r="324" spans="4:12" s="91" customFormat="1" ht="12.75" customHeight="1" x14ac:dyDescent="0.3">
      <c r="D324" s="305"/>
      <c r="E324" s="302"/>
      <c r="F324" s="302"/>
      <c r="G324" s="302"/>
      <c r="H324" s="302"/>
      <c r="L324" s="93"/>
    </row>
    <row r="325" spans="4:12" s="91" customFormat="1" ht="12.75" customHeight="1" x14ac:dyDescent="0.3">
      <c r="D325" s="305"/>
      <c r="E325" s="302"/>
      <c r="F325" s="302"/>
      <c r="G325" s="302"/>
      <c r="H325" s="302"/>
      <c r="L325" s="93"/>
    </row>
    <row r="326" spans="4:12" s="91" customFormat="1" ht="12.75" customHeight="1" x14ac:dyDescent="0.3">
      <c r="D326" s="305"/>
      <c r="E326" s="302"/>
      <c r="F326" s="302"/>
      <c r="G326" s="302"/>
      <c r="H326" s="302"/>
      <c r="L326" s="93"/>
    </row>
    <row r="327" spans="4:12" s="91" customFormat="1" ht="12.75" customHeight="1" x14ac:dyDescent="0.3">
      <c r="D327" s="305"/>
      <c r="E327" s="302"/>
      <c r="F327" s="302"/>
      <c r="G327" s="302"/>
      <c r="H327" s="302"/>
      <c r="L327" s="93"/>
    </row>
    <row r="328" spans="4:12" s="91" customFormat="1" ht="12.75" customHeight="1" x14ac:dyDescent="0.3">
      <c r="D328" s="305"/>
      <c r="E328" s="302"/>
      <c r="F328" s="302"/>
      <c r="G328" s="302"/>
      <c r="H328" s="302"/>
      <c r="L328" s="93"/>
    </row>
    <row r="329" spans="4:12" s="91" customFormat="1" ht="12.75" customHeight="1" x14ac:dyDescent="0.3">
      <c r="D329" s="305"/>
      <c r="E329" s="302"/>
      <c r="F329" s="302"/>
      <c r="G329" s="302"/>
      <c r="H329" s="302"/>
      <c r="L329" s="93"/>
    </row>
    <row r="330" spans="4:12" s="91" customFormat="1" ht="12.75" customHeight="1" x14ac:dyDescent="0.3">
      <c r="D330" s="305"/>
      <c r="E330" s="302"/>
      <c r="F330" s="302"/>
      <c r="G330" s="302"/>
      <c r="H330" s="302"/>
      <c r="L330" s="93"/>
    </row>
    <row r="331" spans="4:12" s="91" customFormat="1" ht="12.75" customHeight="1" x14ac:dyDescent="0.3">
      <c r="D331" s="305"/>
      <c r="E331" s="302"/>
      <c r="F331" s="302"/>
      <c r="G331" s="302"/>
      <c r="H331" s="302"/>
      <c r="L331" s="93"/>
    </row>
    <row r="332" spans="4:12" s="91" customFormat="1" ht="12.75" customHeight="1" x14ac:dyDescent="0.3">
      <c r="D332" s="305"/>
      <c r="E332" s="302"/>
      <c r="F332" s="302"/>
      <c r="G332" s="302"/>
      <c r="H332" s="302"/>
      <c r="L332" s="93"/>
    </row>
    <row r="333" spans="4:12" s="91" customFormat="1" ht="12.75" customHeight="1" x14ac:dyDescent="0.3">
      <c r="D333" s="305"/>
      <c r="E333" s="302"/>
      <c r="F333" s="302"/>
      <c r="G333" s="302"/>
      <c r="H333" s="302"/>
      <c r="L333" s="93"/>
    </row>
    <row r="334" spans="4:12" s="91" customFormat="1" ht="12.75" customHeight="1" x14ac:dyDescent="0.3">
      <c r="D334" s="305"/>
      <c r="E334" s="302"/>
      <c r="F334" s="302"/>
      <c r="G334" s="302"/>
      <c r="H334" s="302"/>
      <c r="L334" s="93"/>
    </row>
    <row r="335" spans="4:12" s="91" customFormat="1" ht="12.75" customHeight="1" x14ac:dyDescent="0.3">
      <c r="D335" s="305"/>
      <c r="E335" s="302"/>
      <c r="F335" s="302"/>
      <c r="G335" s="302"/>
      <c r="H335" s="302"/>
      <c r="L335" s="93"/>
    </row>
    <row r="336" spans="4:12" s="91" customFormat="1" ht="12.75" customHeight="1" x14ac:dyDescent="0.3">
      <c r="D336" s="305"/>
      <c r="E336" s="302"/>
      <c r="F336" s="302"/>
      <c r="G336" s="302"/>
      <c r="H336" s="302"/>
      <c r="L336" s="93"/>
    </row>
    <row r="337" spans="4:12" s="91" customFormat="1" ht="12.75" customHeight="1" x14ac:dyDescent="0.3">
      <c r="D337" s="305"/>
      <c r="E337" s="302"/>
      <c r="F337" s="302"/>
      <c r="G337" s="302"/>
      <c r="H337" s="302"/>
      <c r="L337" s="93"/>
    </row>
    <row r="338" spans="4:12" s="91" customFormat="1" ht="12.75" customHeight="1" x14ac:dyDescent="0.3">
      <c r="D338" s="305"/>
      <c r="E338" s="302"/>
      <c r="F338" s="302"/>
      <c r="G338" s="302"/>
      <c r="H338" s="302"/>
      <c r="L338" s="93"/>
    </row>
    <row r="339" spans="4:12" s="91" customFormat="1" ht="12.75" customHeight="1" x14ac:dyDescent="0.3">
      <c r="D339" s="305"/>
      <c r="E339" s="302"/>
      <c r="F339" s="302"/>
      <c r="G339" s="302"/>
      <c r="H339" s="302"/>
      <c r="L339" s="93"/>
    </row>
    <row r="340" spans="4:12" s="91" customFormat="1" ht="12.75" customHeight="1" x14ac:dyDescent="0.3">
      <c r="D340" s="305"/>
      <c r="E340" s="302"/>
      <c r="F340" s="302"/>
      <c r="G340" s="302"/>
      <c r="H340" s="302"/>
      <c r="L340" s="93"/>
    </row>
    <row r="341" spans="4:12" s="91" customFormat="1" ht="12.75" customHeight="1" x14ac:dyDescent="0.3">
      <c r="D341" s="305"/>
      <c r="E341" s="302"/>
      <c r="F341" s="302"/>
      <c r="G341" s="302"/>
      <c r="H341" s="302"/>
      <c r="L341" s="93"/>
    </row>
    <row r="342" spans="4:12" s="91" customFormat="1" ht="12.75" customHeight="1" x14ac:dyDescent="0.3">
      <c r="D342" s="305"/>
      <c r="E342" s="302"/>
      <c r="F342" s="302"/>
      <c r="G342" s="302"/>
      <c r="H342" s="302"/>
      <c r="L342" s="93"/>
    </row>
    <row r="343" spans="4:12" s="91" customFormat="1" ht="12.75" customHeight="1" x14ac:dyDescent="0.3">
      <c r="D343" s="305"/>
      <c r="E343" s="302"/>
      <c r="F343" s="302"/>
      <c r="G343" s="302"/>
      <c r="H343" s="302"/>
      <c r="L343" s="93"/>
    </row>
    <row r="344" spans="4:12" s="91" customFormat="1" ht="12.75" customHeight="1" x14ac:dyDescent="0.3">
      <c r="D344" s="305"/>
      <c r="E344" s="302"/>
      <c r="F344" s="302"/>
      <c r="G344" s="302"/>
      <c r="H344" s="302"/>
      <c r="L344" s="93"/>
    </row>
    <row r="345" spans="4:12" s="91" customFormat="1" ht="12.75" customHeight="1" x14ac:dyDescent="0.3">
      <c r="D345" s="305"/>
      <c r="E345" s="302"/>
      <c r="F345" s="302"/>
      <c r="G345" s="302"/>
      <c r="H345" s="302"/>
      <c r="L345" s="93"/>
    </row>
    <row r="346" spans="4:12" s="91" customFormat="1" ht="12.75" customHeight="1" x14ac:dyDescent="0.3">
      <c r="D346" s="305"/>
      <c r="E346" s="302"/>
      <c r="F346" s="302"/>
      <c r="G346" s="302"/>
      <c r="H346" s="302"/>
      <c r="L346" s="93"/>
    </row>
    <row r="347" spans="4:12" s="91" customFormat="1" ht="12.75" customHeight="1" x14ac:dyDescent="0.3">
      <c r="D347" s="305"/>
      <c r="E347" s="302"/>
      <c r="F347" s="302"/>
      <c r="G347" s="302"/>
      <c r="H347" s="302"/>
      <c r="L347" s="93"/>
    </row>
    <row r="348" spans="4:12" s="91" customFormat="1" ht="12.75" customHeight="1" x14ac:dyDescent="0.3">
      <c r="D348" s="305"/>
      <c r="E348" s="302"/>
      <c r="F348" s="302"/>
      <c r="G348" s="302"/>
      <c r="H348" s="302"/>
      <c r="L348" s="93"/>
    </row>
    <row r="349" spans="4:12" s="91" customFormat="1" ht="12.75" customHeight="1" x14ac:dyDescent="0.3">
      <c r="D349" s="305"/>
      <c r="E349" s="302"/>
      <c r="F349" s="302"/>
      <c r="G349" s="302"/>
      <c r="H349" s="302"/>
      <c r="L349" s="93"/>
    </row>
    <row r="350" spans="4:12" s="91" customFormat="1" ht="12.75" customHeight="1" x14ac:dyDescent="0.3">
      <c r="D350" s="305"/>
      <c r="E350" s="302"/>
      <c r="F350" s="302"/>
      <c r="G350" s="302"/>
      <c r="H350" s="302"/>
      <c r="L350" s="93"/>
    </row>
    <row r="351" spans="4:12" s="91" customFormat="1" ht="12.75" customHeight="1" x14ac:dyDescent="0.3">
      <c r="D351" s="305"/>
      <c r="E351" s="302"/>
      <c r="F351" s="302"/>
      <c r="G351" s="302"/>
      <c r="H351" s="302"/>
      <c r="L351" s="93"/>
    </row>
    <row r="352" spans="4:12" s="91" customFormat="1" ht="12.75" customHeight="1" x14ac:dyDescent="0.3">
      <c r="D352" s="305"/>
      <c r="E352" s="302"/>
      <c r="F352" s="302"/>
      <c r="G352" s="302"/>
      <c r="H352" s="302"/>
      <c r="L352" s="93"/>
    </row>
    <row r="353" spans="4:12" s="91" customFormat="1" ht="12.75" customHeight="1" x14ac:dyDescent="0.3">
      <c r="D353" s="305"/>
      <c r="E353" s="302"/>
      <c r="F353" s="302"/>
      <c r="G353" s="302"/>
      <c r="H353" s="302"/>
      <c r="L353" s="93"/>
    </row>
    <row r="354" spans="4:12" s="91" customFormat="1" ht="12.75" customHeight="1" x14ac:dyDescent="0.3">
      <c r="D354" s="305"/>
      <c r="E354" s="302"/>
      <c r="F354" s="302"/>
      <c r="G354" s="302"/>
      <c r="H354" s="302"/>
      <c r="L354" s="93"/>
    </row>
    <row r="355" spans="4:12" s="91" customFormat="1" ht="12.75" customHeight="1" x14ac:dyDescent="0.3">
      <c r="D355" s="305"/>
      <c r="E355" s="302"/>
      <c r="F355" s="302"/>
      <c r="G355" s="302"/>
      <c r="H355" s="302"/>
      <c r="L355" s="93"/>
    </row>
    <row r="356" spans="4:12" s="91" customFormat="1" ht="12.75" customHeight="1" x14ac:dyDescent="0.3">
      <c r="D356" s="305"/>
      <c r="E356" s="302"/>
      <c r="F356" s="302"/>
      <c r="G356" s="302"/>
      <c r="H356" s="302"/>
      <c r="L356" s="93"/>
    </row>
    <row r="357" spans="4:12" s="91" customFormat="1" ht="12.75" customHeight="1" x14ac:dyDescent="0.3">
      <c r="D357" s="305"/>
      <c r="E357" s="302"/>
      <c r="F357" s="302"/>
      <c r="G357" s="302"/>
      <c r="H357" s="302"/>
      <c r="L357" s="93"/>
    </row>
    <row r="358" spans="4:12" s="91" customFormat="1" ht="12.75" customHeight="1" x14ac:dyDescent="0.3">
      <c r="D358" s="305"/>
      <c r="E358" s="302"/>
      <c r="F358" s="302"/>
      <c r="G358" s="302"/>
      <c r="H358" s="302"/>
      <c r="L358" s="93"/>
    </row>
    <row r="359" spans="4:12" s="91" customFormat="1" ht="12.75" customHeight="1" x14ac:dyDescent="0.3">
      <c r="D359" s="305"/>
      <c r="E359" s="302"/>
      <c r="F359" s="302"/>
      <c r="G359" s="302"/>
      <c r="H359" s="302"/>
      <c r="L359" s="93"/>
    </row>
    <row r="360" spans="4:12" s="91" customFormat="1" ht="12.75" customHeight="1" x14ac:dyDescent="0.3">
      <c r="D360" s="305"/>
      <c r="E360" s="302"/>
      <c r="F360" s="302"/>
      <c r="G360" s="302"/>
      <c r="H360" s="302"/>
      <c r="L360" s="93"/>
    </row>
    <row r="361" spans="4:12" s="91" customFormat="1" ht="12.75" customHeight="1" x14ac:dyDescent="0.3">
      <c r="D361" s="305"/>
      <c r="E361" s="302"/>
      <c r="F361" s="302"/>
      <c r="G361" s="302"/>
      <c r="H361" s="302"/>
      <c r="L361" s="93"/>
    </row>
    <row r="362" spans="4:12" s="91" customFormat="1" ht="12.75" customHeight="1" x14ac:dyDescent="0.3">
      <c r="D362" s="305"/>
      <c r="E362" s="302"/>
      <c r="F362" s="302"/>
      <c r="G362" s="302"/>
      <c r="H362" s="302"/>
      <c r="L362" s="93"/>
    </row>
    <row r="363" spans="4:12" s="91" customFormat="1" ht="12.75" customHeight="1" x14ac:dyDescent="0.3">
      <c r="D363" s="305"/>
      <c r="E363" s="302"/>
      <c r="F363" s="302"/>
      <c r="G363" s="302"/>
      <c r="H363" s="302"/>
      <c r="L363" s="93"/>
    </row>
    <row r="364" spans="4:12" s="91" customFormat="1" ht="12.75" customHeight="1" x14ac:dyDescent="0.3">
      <c r="D364" s="305"/>
      <c r="E364" s="302"/>
      <c r="F364" s="302"/>
      <c r="G364" s="302"/>
      <c r="H364" s="302"/>
      <c r="L364" s="93"/>
    </row>
    <row r="365" spans="4:12" s="91" customFormat="1" ht="12.75" customHeight="1" x14ac:dyDescent="0.3">
      <c r="D365" s="305"/>
      <c r="E365" s="302"/>
      <c r="F365" s="302"/>
      <c r="G365" s="302"/>
      <c r="H365" s="302"/>
      <c r="L365" s="93"/>
    </row>
    <row r="366" spans="4:12" s="91" customFormat="1" ht="12.75" customHeight="1" x14ac:dyDescent="0.3">
      <c r="D366" s="305"/>
      <c r="E366" s="302"/>
      <c r="F366" s="302"/>
      <c r="G366" s="302"/>
      <c r="H366" s="302"/>
      <c r="L366" s="93"/>
    </row>
    <row r="367" spans="4:12" s="91" customFormat="1" ht="12.75" customHeight="1" x14ac:dyDescent="0.3">
      <c r="D367" s="305"/>
      <c r="E367" s="302"/>
      <c r="F367" s="302"/>
      <c r="G367" s="302"/>
      <c r="H367" s="302"/>
      <c r="L367" s="93"/>
    </row>
    <row r="368" spans="4:12" s="91" customFormat="1" ht="12.75" customHeight="1" x14ac:dyDescent="0.3">
      <c r="D368" s="305"/>
      <c r="E368" s="302"/>
      <c r="F368" s="302"/>
      <c r="G368" s="302"/>
      <c r="H368" s="302"/>
      <c r="L368" s="93"/>
    </row>
    <row r="369" spans="4:34" s="91" customFormat="1" ht="12.75" customHeight="1" x14ac:dyDescent="0.3">
      <c r="D369" s="305"/>
      <c r="E369" s="302"/>
      <c r="F369" s="302"/>
      <c r="G369" s="302"/>
      <c r="H369" s="302"/>
      <c r="L369" s="93"/>
    </row>
    <row r="370" spans="4:34" s="91" customFormat="1" ht="12.75" customHeight="1" x14ac:dyDescent="0.3">
      <c r="D370" s="305"/>
      <c r="E370" s="302"/>
      <c r="F370" s="302"/>
      <c r="G370" s="302"/>
      <c r="H370" s="302"/>
      <c r="L370" s="93"/>
    </row>
    <row r="371" spans="4:34" s="91" customFormat="1" ht="12.75" customHeight="1" x14ac:dyDescent="0.3">
      <c r="D371" s="305"/>
      <c r="E371" s="302"/>
      <c r="F371" s="302"/>
      <c r="G371" s="302"/>
      <c r="H371" s="302"/>
      <c r="L371" s="93"/>
    </row>
    <row r="372" spans="4:34" s="91" customFormat="1" ht="12.75" customHeight="1" x14ac:dyDescent="0.3">
      <c r="D372" s="305"/>
      <c r="E372" s="302"/>
      <c r="F372" s="302"/>
      <c r="G372" s="302"/>
      <c r="H372" s="302"/>
      <c r="L372" s="93"/>
    </row>
    <row r="373" spans="4:34" s="91" customFormat="1" ht="12.75" customHeight="1" x14ac:dyDescent="0.3">
      <c r="D373" s="305"/>
      <c r="E373" s="302"/>
      <c r="F373" s="302"/>
      <c r="G373" s="302"/>
      <c r="H373" s="302"/>
      <c r="L373" s="93"/>
    </row>
    <row r="374" spans="4:34" s="91" customFormat="1" ht="12.75" customHeight="1" x14ac:dyDescent="0.3">
      <c r="D374" s="305"/>
      <c r="E374" s="302"/>
      <c r="F374" s="302"/>
      <c r="G374" s="302"/>
      <c r="H374" s="302"/>
      <c r="L374" s="93"/>
    </row>
    <row r="375" spans="4:34" s="91" customFormat="1" ht="12.75" customHeight="1" x14ac:dyDescent="0.3">
      <c r="D375" s="305"/>
      <c r="E375" s="302"/>
      <c r="F375" s="302"/>
      <c r="G375" s="302"/>
      <c r="H375" s="302"/>
      <c r="L375" s="93"/>
    </row>
    <row r="376" spans="4:34" s="91" customFormat="1" ht="12.75" customHeight="1" x14ac:dyDescent="0.3">
      <c r="D376" s="305"/>
      <c r="E376" s="302"/>
      <c r="F376" s="302"/>
      <c r="G376" s="302"/>
      <c r="H376" s="302"/>
      <c r="L376" s="93"/>
    </row>
    <row r="377" spans="4:34" s="91" customFormat="1" ht="12.75" customHeight="1" x14ac:dyDescent="0.3">
      <c r="D377" s="305"/>
      <c r="E377" s="302"/>
      <c r="F377" s="302"/>
      <c r="G377" s="302"/>
      <c r="H377" s="302"/>
      <c r="L377" s="93"/>
    </row>
    <row r="378" spans="4:34" s="91" customFormat="1" ht="12.75" customHeight="1" x14ac:dyDescent="0.3">
      <c r="D378" s="305"/>
      <c r="E378" s="302"/>
      <c r="F378" s="302"/>
      <c r="G378" s="302"/>
      <c r="H378" s="302"/>
      <c r="L378" s="93"/>
    </row>
    <row r="379" spans="4:34" s="91" customFormat="1" ht="12.75" customHeight="1" x14ac:dyDescent="0.3">
      <c r="D379" s="305"/>
      <c r="E379" s="302"/>
      <c r="F379" s="302"/>
      <c r="G379" s="302"/>
      <c r="H379" s="302"/>
      <c r="L379" s="93"/>
    </row>
    <row r="380" spans="4:34" s="91" customFormat="1" ht="12.75" customHeight="1" x14ac:dyDescent="0.3">
      <c r="D380" s="305"/>
      <c r="E380" s="302"/>
      <c r="F380" s="302"/>
      <c r="G380" s="302"/>
      <c r="H380" s="302"/>
      <c r="L380" s="93"/>
    </row>
    <row r="381" spans="4:34" s="91" customFormat="1" ht="12.75" customHeight="1" x14ac:dyDescent="0.3">
      <c r="D381" s="305"/>
      <c r="E381" s="302"/>
      <c r="F381" s="302"/>
      <c r="G381" s="302"/>
      <c r="H381" s="302"/>
      <c r="L381" s="93"/>
    </row>
    <row r="382" spans="4:34" s="91" customFormat="1" ht="12.75" customHeight="1" x14ac:dyDescent="0.3">
      <c r="D382" s="305"/>
      <c r="E382" s="302"/>
      <c r="F382" s="302"/>
      <c r="G382" s="302"/>
      <c r="H382" s="302"/>
      <c r="L382" s="93"/>
    </row>
    <row r="383" spans="4:34" s="91" customFormat="1" ht="12.75" customHeight="1" x14ac:dyDescent="0.3">
      <c r="D383" s="305"/>
      <c r="E383" s="302"/>
      <c r="F383" s="302"/>
      <c r="G383" s="302"/>
      <c r="H383" s="302"/>
      <c r="L383" s="93"/>
    </row>
    <row r="384" spans="4:34" s="91" customFormat="1" ht="12.75" customHeight="1" x14ac:dyDescent="0.3">
      <c r="D384" s="305"/>
      <c r="E384" s="302"/>
      <c r="F384" s="302"/>
      <c r="G384" s="302"/>
      <c r="H384" s="302"/>
      <c r="L384" s="93"/>
      <c r="AF384" s="306"/>
      <c r="AG384" s="307"/>
      <c r="AH384" s="306"/>
    </row>
    <row r="385" spans="4:53" ht="12.75" customHeight="1" x14ac:dyDescent="0.3">
      <c r="D385" s="305"/>
      <c r="E385" s="302"/>
      <c r="F385" s="302"/>
      <c r="G385" s="302"/>
      <c r="H385" s="302"/>
      <c r="AF385" s="308"/>
      <c r="AG385" s="308"/>
      <c r="AH385" s="306"/>
      <c r="AI385" s="307"/>
      <c r="AJ385" s="309"/>
      <c r="AK385" s="310"/>
      <c r="AL385" s="311"/>
      <c r="AM385" s="312"/>
      <c r="AN385" s="312"/>
      <c r="AO385" s="313"/>
      <c r="AP385" s="314"/>
      <c r="AQ385" s="312"/>
      <c r="AR385" s="312"/>
      <c r="AS385" s="315">
        <v>20000</v>
      </c>
      <c r="AT385" s="312"/>
      <c r="AU385" s="306">
        <v>24</v>
      </c>
      <c r="AV385" s="316"/>
      <c r="AW385" s="317"/>
      <c r="AX385" s="316"/>
      <c r="AY385" s="312"/>
      <c r="AZ385" s="312"/>
      <c r="BA385" s="312"/>
    </row>
    <row r="386" spans="4:53" ht="12.75" customHeight="1" x14ac:dyDescent="0.3">
      <c r="D386" s="305"/>
      <c r="E386" s="302"/>
      <c r="F386" s="302"/>
      <c r="G386" s="302"/>
      <c r="H386" s="302"/>
      <c r="AF386" s="308"/>
      <c r="AG386" s="308"/>
      <c r="AH386" s="306"/>
      <c r="AI386" s="308"/>
      <c r="AJ386" s="318"/>
      <c r="AK386" s="319"/>
      <c r="AL386" s="320"/>
      <c r="AM386" s="315"/>
      <c r="AN386" s="315"/>
      <c r="AO386" s="321"/>
      <c r="AP386" s="322"/>
      <c r="AQ386" s="315"/>
      <c r="AR386" s="315"/>
      <c r="AS386" s="315">
        <v>15000</v>
      </c>
      <c r="AT386" s="315"/>
      <c r="AU386" s="308"/>
      <c r="AV386" s="323"/>
      <c r="AW386" s="324"/>
      <c r="AX386" s="323"/>
      <c r="AY386" s="315"/>
      <c r="AZ386" s="315"/>
      <c r="BA386" s="315"/>
    </row>
    <row r="387" spans="4:53" ht="12.75" customHeight="1" x14ac:dyDescent="0.3">
      <c r="D387" s="305"/>
      <c r="E387" s="302"/>
      <c r="F387" s="302"/>
      <c r="G387" s="302"/>
      <c r="H387" s="302"/>
      <c r="AF387" s="308"/>
      <c r="AG387" s="308"/>
      <c r="AH387" s="306"/>
      <c r="AI387" s="308"/>
      <c r="AJ387" s="318"/>
      <c r="AK387" s="319"/>
      <c r="AL387" s="320"/>
      <c r="AM387" s="315"/>
      <c r="AN387" s="315"/>
      <c r="AO387" s="321"/>
      <c r="AP387" s="322"/>
      <c r="AQ387" s="315"/>
      <c r="AR387" s="315"/>
      <c r="AS387" s="315"/>
      <c r="AT387" s="315"/>
      <c r="AU387" s="308"/>
      <c r="AV387" s="323"/>
      <c r="AW387" s="324"/>
      <c r="AX387" s="323"/>
      <c r="AY387" s="315"/>
      <c r="AZ387" s="315"/>
      <c r="BA387" s="315"/>
    </row>
    <row r="388" spans="4:53" ht="12.75" customHeight="1" x14ac:dyDescent="0.3">
      <c r="D388" s="305"/>
      <c r="E388" s="302"/>
      <c r="F388" s="302"/>
      <c r="G388" s="302"/>
      <c r="H388" s="302"/>
      <c r="AF388" s="308"/>
      <c r="AG388" s="308"/>
      <c r="AH388" s="306"/>
      <c r="AI388" s="308"/>
      <c r="AJ388" s="318"/>
      <c r="AK388" s="319"/>
      <c r="AL388" s="320"/>
      <c r="AM388" s="315"/>
      <c r="AN388" s="315"/>
      <c r="AO388" s="321"/>
      <c r="AP388" s="322"/>
      <c r="AQ388" s="315"/>
      <c r="AR388" s="315"/>
      <c r="AS388" s="315"/>
      <c r="AT388" s="315"/>
      <c r="AU388" s="308"/>
      <c r="AV388" s="323"/>
      <c r="AW388" s="324"/>
      <c r="AX388" s="323"/>
      <c r="AY388" s="315"/>
      <c r="AZ388" s="315"/>
      <c r="BA388" s="315"/>
    </row>
    <row r="389" spans="4:53" ht="12.75" customHeight="1" x14ac:dyDescent="0.3">
      <c r="D389" s="305"/>
      <c r="E389" s="302"/>
      <c r="F389" s="302"/>
      <c r="G389" s="302"/>
      <c r="H389" s="302"/>
      <c r="AF389" s="308"/>
      <c r="AG389" s="308"/>
      <c r="AH389" s="306"/>
      <c r="AI389" s="308"/>
      <c r="AJ389" s="318"/>
      <c r="AK389" s="319"/>
      <c r="AL389" s="320"/>
      <c r="AM389" s="315"/>
      <c r="AN389" s="315"/>
      <c r="AO389" s="321"/>
      <c r="AP389" s="322"/>
      <c r="AQ389" s="315"/>
      <c r="AR389" s="315"/>
      <c r="AS389" s="315"/>
      <c r="AT389" s="315"/>
      <c r="AU389" s="308"/>
      <c r="AV389" s="323"/>
      <c r="AW389" s="324"/>
      <c r="AX389" s="323"/>
      <c r="AY389" s="315"/>
      <c r="AZ389" s="315"/>
      <c r="BA389" s="315"/>
    </row>
    <row r="390" spans="4:53" ht="12.75" customHeight="1" x14ac:dyDescent="0.3">
      <c r="D390" s="305"/>
      <c r="E390" s="302"/>
      <c r="F390" s="302"/>
      <c r="G390" s="302"/>
      <c r="H390" s="302"/>
      <c r="AF390" s="308"/>
      <c r="AG390" s="308"/>
      <c r="AH390" s="306"/>
      <c r="AI390" s="308"/>
      <c r="AJ390" s="318"/>
      <c r="AK390" s="319"/>
      <c r="AL390" s="320"/>
      <c r="AM390" s="315"/>
      <c r="AN390" s="315"/>
      <c r="AO390" s="321"/>
      <c r="AP390" s="322"/>
      <c r="AQ390" s="315"/>
      <c r="AR390" s="315"/>
      <c r="AS390" s="315"/>
      <c r="AT390" s="315"/>
      <c r="AU390" s="308"/>
      <c r="AV390" s="323"/>
      <c r="AW390" s="324"/>
      <c r="AX390" s="323"/>
      <c r="AY390" s="315"/>
      <c r="AZ390" s="315"/>
      <c r="BA390" s="315"/>
    </row>
    <row r="391" spans="4:53" ht="12.75" customHeight="1" x14ac:dyDescent="0.3">
      <c r="D391" s="305"/>
      <c r="E391" s="302"/>
      <c r="F391" s="302"/>
      <c r="G391" s="302"/>
      <c r="H391" s="302"/>
      <c r="AF391" s="308"/>
      <c r="AG391" s="308"/>
      <c r="AH391" s="306"/>
      <c r="AI391" s="308"/>
      <c r="AJ391" s="318"/>
      <c r="AK391" s="319"/>
      <c r="AL391" s="320"/>
      <c r="AM391" s="315"/>
      <c r="AN391" s="315"/>
      <c r="AO391" s="321"/>
      <c r="AP391" s="322"/>
      <c r="AQ391" s="315"/>
      <c r="AR391" s="315"/>
      <c r="AS391" s="315"/>
      <c r="AT391" s="315"/>
      <c r="AU391" s="308"/>
      <c r="AV391" s="323"/>
      <c r="AW391" s="324"/>
      <c r="AX391" s="323"/>
      <c r="AY391" s="315"/>
      <c r="AZ391" s="315"/>
      <c r="BA391" s="315"/>
    </row>
    <row r="392" spans="4:53" ht="12.75" customHeight="1" x14ac:dyDescent="0.3">
      <c r="D392" s="305"/>
      <c r="E392" s="302"/>
      <c r="F392" s="302"/>
      <c r="G392" s="302"/>
      <c r="H392" s="302"/>
      <c r="AF392" s="308"/>
      <c r="AG392" s="308"/>
      <c r="AH392" s="306"/>
      <c r="AI392" s="308"/>
      <c r="AJ392" s="318"/>
      <c r="AK392" s="319"/>
      <c r="AL392" s="320"/>
      <c r="AM392" s="315"/>
      <c r="AN392" s="315"/>
      <c r="AO392" s="321"/>
      <c r="AP392" s="322"/>
      <c r="AQ392" s="315"/>
      <c r="AR392" s="315"/>
      <c r="AS392" s="315"/>
      <c r="AT392" s="315"/>
      <c r="AU392" s="308"/>
      <c r="AV392" s="323"/>
      <c r="AW392" s="324"/>
      <c r="AX392" s="323"/>
      <c r="AY392" s="315"/>
      <c r="AZ392" s="315"/>
      <c r="BA392" s="315"/>
    </row>
    <row r="393" spans="4:53" ht="12.75" customHeight="1" x14ac:dyDescent="0.3">
      <c r="D393" s="305"/>
      <c r="E393" s="302"/>
      <c r="F393" s="302"/>
      <c r="G393" s="302"/>
      <c r="H393" s="302"/>
      <c r="AF393" s="308"/>
      <c r="AG393" s="308"/>
      <c r="AH393" s="306"/>
      <c r="AI393" s="308"/>
      <c r="AJ393" s="318"/>
      <c r="AK393" s="319"/>
      <c r="AL393" s="320"/>
      <c r="AM393" s="315"/>
      <c r="AN393" s="315"/>
      <c r="AO393" s="321"/>
      <c r="AP393" s="322"/>
      <c r="AQ393" s="315"/>
      <c r="AR393" s="315"/>
      <c r="AS393" s="315"/>
      <c r="AT393" s="315"/>
      <c r="AU393" s="308"/>
      <c r="AV393" s="323"/>
      <c r="AW393" s="324"/>
      <c r="AX393" s="323"/>
      <c r="AY393" s="315"/>
      <c r="AZ393" s="315"/>
      <c r="BA393" s="315"/>
    </row>
    <row r="394" spans="4:53" ht="12.75" customHeight="1" x14ac:dyDescent="0.3">
      <c r="D394" s="305"/>
      <c r="E394" s="302"/>
      <c r="F394" s="302"/>
      <c r="G394" s="302"/>
      <c r="H394" s="302"/>
      <c r="AF394" s="93"/>
      <c r="AI394" s="308"/>
      <c r="AJ394" s="318"/>
      <c r="AK394" s="319"/>
      <c r="AL394" s="320"/>
      <c r="AM394" s="315"/>
      <c r="AN394" s="315"/>
      <c r="AO394" s="321"/>
      <c r="AP394" s="322"/>
      <c r="AQ394" s="315"/>
      <c r="AR394" s="315"/>
      <c r="AS394" s="315"/>
      <c r="AT394" s="315"/>
      <c r="AU394" s="308"/>
      <c r="AV394" s="323"/>
      <c r="AW394" s="324"/>
      <c r="AX394" s="323"/>
      <c r="AY394" s="315"/>
      <c r="AZ394" s="315"/>
      <c r="BA394" s="315"/>
    </row>
    <row r="395" spans="4:53" ht="12.75" customHeight="1" x14ac:dyDescent="0.3">
      <c r="D395" s="305"/>
      <c r="E395" s="302"/>
      <c r="F395" s="302"/>
      <c r="G395" s="302"/>
      <c r="H395" s="302"/>
      <c r="AF395" s="93"/>
      <c r="AJ395" s="325"/>
      <c r="AS395" s="92"/>
    </row>
    <row r="396" spans="4:53" ht="12.75" customHeight="1" x14ac:dyDescent="0.3">
      <c r="D396" s="305"/>
      <c r="E396" s="302"/>
      <c r="F396" s="302"/>
      <c r="G396" s="302"/>
      <c r="H396" s="302"/>
      <c r="AF396" s="93"/>
      <c r="AJ396" s="325"/>
      <c r="AS396" s="92"/>
    </row>
    <row r="397" spans="4:53" ht="12.75" customHeight="1" x14ac:dyDescent="0.3">
      <c r="D397" s="305"/>
      <c r="E397" s="302"/>
      <c r="F397" s="302"/>
      <c r="G397" s="302"/>
      <c r="H397" s="302"/>
      <c r="AF397" s="93"/>
      <c r="AJ397" s="325"/>
      <c r="AS397" s="92"/>
    </row>
    <row r="398" spans="4:53" ht="12.75" customHeight="1" x14ac:dyDescent="0.3">
      <c r="D398" s="305"/>
      <c r="E398" s="302"/>
      <c r="F398" s="302"/>
      <c r="G398" s="302"/>
      <c r="H398" s="302"/>
      <c r="AF398" s="93"/>
      <c r="AJ398" s="325"/>
      <c r="AS398" s="92"/>
    </row>
    <row r="399" spans="4:53" ht="12.75" customHeight="1" x14ac:dyDescent="0.3">
      <c r="D399" s="305"/>
      <c r="E399" s="302"/>
      <c r="F399" s="302"/>
      <c r="G399" s="302"/>
      <c r="H399" s="302"/>
      <c r="AF399" s="93"/>
      <c r="AJ399" s="325"/>
      <c r="AS399" s="92"/>
    </row>
    <row r="400" spans="4:53" ht="12.75" customHeight="1" x14ac:dyDescent="0.3">
      <c r="D400" s="305"/>
      <c r="E400" s="302"/>
      <c r="F400" s="302"/>
      <c r="G400" s="302"/>
      <c r="H400" s="302"/>
      <c r="AF400" s="93"/>
      <c r="AJ400" s="325"/>
      <c r="AS400" s="92"/>
    </row>
    <row r="401" spans="4:45" ht="12.75" customHeight="1" x14ac:dyDescent="0.3">
      <c r="D401" s="305"/>
      <c r="E401" s="302"/>
      <c r="F401" s="302"/>
      <c r="G401" s="302"/>
      <c r="H401" s="302"/>
      <c r="AF401" s="93"/>
      <c r="AJ401" s="325"/>
      <c r="AS401" s="92"/>
    </row>
    <row r="402" spans="4:45" ht="12.75" customHeight="1" x14ac:dyDescent="0.3">
      <c r="D402" s="305"/>
      <c r="E402" s="302"/>
      <c r="F402" s="302"/>
      <c r="G402" s="302"/>
      <c r="H402" s="302"/>
      <c r="AJ402" s="325"/>
      <c r="AS402" s="92"/>
    </row>
    <row r="403" spans="4:45" ht="12.75" customHeight="1" x14ac:dyDescent="0.3">
      <c r="D403" s="305"/>
      <c r="E403" s="302"/>
      <c r="F403" s="302"/>
      <c r="G403" s="302"/>
      <c r="H403" s="302"/>
      <c r="AJ403" s="325"/>
    </row>
    <row r="404" spans="4:45" ht="12.75" customHeight="1" x14ac:dyDescent="0.3">
      <c r="D404" s="305"/>
      <c r="E404" s="302"/>
      <c r="F404" s="302"/>
      <c r="G404" s="302"/>
      <c r="H404" s="302"/>
      <c r="AJ404" s="325"/>
    </row>
    <row r="405" spans="4:45" ht="12.75" customHeight="1" x14ac:dyDescent="0.3">
      <c r="D405" s="305"/>
      <c r="E405" s="302"/>
      <c r="F405" s="302"/>
      <c r="G405" s="302"/>
      <c r="H405" s="302"/>
      <c r="AJ405" s="325"/>
    </row>
    <row r="406" spans="4:45" ht="12.75" customHeight="1" x14ac:dyDescent="0.3">
      <c r="D406" s="305"/>
      <c r="E406" s="302"/>
      <c r="F406" s="302"/>
      <c r="G406" s="302"/>
      <c r="H406" s="302"/>
      <c r="AJ406" s="325"/>
    </row>
    <row r="407" spans="4:45" ht="12.75" customHeight="1" x14ac:dyDescent="0.3">
      <c r="D407" s="305"/>
      <c r="E407" s="302"/>
      <c r="F407" s="302"/>
      <c r="G407" s="302"/>
      <c r="H407" s="302"/>
      <c r="AJ407" s="325"/>
    </row>
    <row r="408" spans="4:45" ht="12.75" customHeight="1" x14ac:dyDescent="0.3">
      <c r="D408" s="305"/>
      <c r="E408" s="302"/>
      <c r="F408" s="302"/>
      <c r="G408" s="302"/>
      <c r="H408" s="302"/>
      <c r="AJ408" s="325"/>
    </row>
    <row r="409" spans="4:45" ht="12.75" customHeight="1" x14ac:dyDescent="0.3">
      <c r="D409" s="305"/>
      <c r="E409" s="302"/>
      <c r="F409" s="302"/>
      <c r="G409" s="302"/>
      <c r="H409" s="302"/>
      <c r="AJ409" s="325"/>
    </row>
    <row r="410" spans="4:45" ht="12.75" customHeight="1" x14ac:dyDescent="0.3">
      <c r="D410" s="305"/>
      <c r="E410" s="302"/>
      <c r="F410" s="302"/>
      <c r="G410" s="302"/>
      <c r="H410" s="302"/>
    </row>
    <row r="411" spans="4:45" ht="12.75" customHeight="1" x14ac:dyDescent="0.3">
      <c r="D411" s="305"/>
      <c r="E411" s="302"/>
      <c r="F411" s="302"/>
      <c r="G411" s="302"/>
      <c r="H411" s="302"/>
    </row>
    <row r="412" spans="4:45" ht="12.75" customHeight="1" x14ac:dyDescent="0.3">
      <c r="D412" s="305"/>
      <c r="E412" s="302"/>
      <c r="F412" s="302"/>
      <c r="G412" s="302"/>
      <c r="H412" s="302"/>
    </row>
    <row r="413" spans="4:45" ht="12.75" customHeight="1" x14ac:dyDescent="0.3">
      <c r="D413" s="305"/>
      <c r="E413" s="302"/>
      <c r="F413" s="302"/>
      <c r="G413" s="302"/>
      <c r="H413" s="302"/>
    </row>
    <row r="414" spans="4:45" ht="12.75" customHeight="1" x14ac:dyDescent="0.3">
      <c r="D414" s="305"/>
      <c r="E414" s="302"/>
      <c r="F414" s="302"/>
      <c r="G414" s="302"/>
      <c r="H414" s="302"/>
    </row>
    <row r="415" spans="4:45" ht="12.75" customHeight="1" x14ac:dyDescent="0.3">
      <c r="D415" s="305"/>
      <c r="E415" s="302"/>
      <c r="F415" s="302"/>
      <c r="G415" s="302"/>
      <c r="H415" s="302"/>
    </row>
    <row r="416" spans="4:45" ht="12.75" customHeight="1" x14ac:dyDescent="0.3">
      <c r="D416" s="305"/>
      <c r="E416" s="302"/>
      <c r="F416" s="302"/>
      <c r="G416" s="302"/>
      <c r="H416" s="302"/>
    </row>
    <row r="417" spans="4:8" ht="12.75" customHeight="1" x14ac:dyDescent="0.3">
      <c r="D417" s="305"/>
      <c r="E417" s="302"/>
      <c r="F417" s="302"/>
      <c r="G417" s="302"/>
      <c r="H417" s="302"/>
    </row>
    <row r="418" spans="4:8" ht="12.75" customHeight="1" x14ac:dyDescent="0.3">
      <c r="D418" s="305"/>
      <c r="E418" s="302"/>
      <c r="F418" s="302"/>
      <c r="G418" s="302"/>
      <c r="H418" s="302"/>
    </row>
    <row r="419" spans="4:8" ht="12.75" customHeight="1" x14ac:dyDescent="0.3">
      <c r="D419" s="305"/>
      <c r="E419" s="302"/>
      <c r="F419" s="302"/>
      <c r="G419" s="302"/>
      <c r="H419" s="302"/>
    </row>
    <row r="420" spans="4:8" ht="12.75" customHeight="1" x14ac:dyDescent="0.3">
      <c r="D420" s="305"/>
      <c r="E420" s="302"/>
      <c r="F420" s="302"/>
      <c r="G420" s="302"/>
      <c r="H420" s="302"/>
    </row>
    <row r="421" spans="4:8" ht="12.75" customHeight="1" x14ac:dyDescent="0.3">
      <c r="D421" s="305"/>
      <c r="E421" s="302"/>
      <c r="F421" s="302"/>
      <c r="G421" s="302"/>
      <c r="H421" s="302"/>
    </row>
    <row r="422" spans="4:8" ht="12.75" customHeight="1" x14ac:dyDescent="0.3">
      <c r="D422" s="305"/>
      <c r="E422" s="302"/>
      <c r="F422" s="302"/>
      <c r="G422" s="302"/>
      <c r="H422" s="302"/>
    </row>
    <row r="423" spans="4:8" ht="12.75" customHeight="1" x14ac:dyDescent="0.3">
      <c r="D423" s="305"/>
      <c r="E423" s="302"/>
      <c r="F423" s="302"/>
      <c r="G423" s="302"/>
      <c r="H423" s="302"/>
    </row>
    <row r="424" spans="4:8" ht="12.75" customHeight="1" x14ac:dyDescent="0.3">
      <c r="D424" s="305"/>
      <c r="E424" s="302"/>
      <c r="F424" s="302"/>
      <c r="G424" s="302"/>
      <c r="H424" s="302"/>
    </row>
    <row r="425" spans="4:8" ht="12.75" customHeight="1" x14ac:dyDescent="0.3">
      <c r="D425" s="305"/>
      <c r="E425" s="302"/>
      <c r="F425" s="302"/>
      <c r="G425" s="302"/>
      <c r="H425" s="302"/>
    </row>
    <row r="426" spans="4:8" ht="12.75" customHeight="1" x14ac:dyDescent="0.3">
      <c r="D426" s="305"/>
      <c r="E426" s="302"/>
      <c r="F426" s="302"/>
      <c r="G426" s="302"/>
      <c r="H426" s="302"/>
    </row>
    <row r="427" spans="4:8" ht="12.75" customHeight="1" x14ac:dyDescent="0.3">
      <c r="D427" s="305"/>
      <c r="E427" s="302"/>
      <c r="F427" s="302"/>
      <c r="G427" s="302"/>
      <c r="H427" s="302"/>
    </row>
    <row r="428" spans="4:8" ht="12.75" customHeight="1" x14ac:dyDescent="0.3">
      <c r="D428" s="305"/>
      <c r="E428" s="302"/>
      <c r="F428" s="302"/>
      <c r="G428" s="302"/>
      <c r="H428" s="302"/>
    </row>
    <row r="429" spans="4:8" ht="12.75" customHeight="1" x14ac:dyDescent="0.3">
      <c r="D429" s="305"/>
      <c r="E429" s="302"/>
      <c r="F429" s="302"/>
      <c r="G429" s="302"/>
      <c r="H429" s="302"/>
    </row>
    <row r="430" spans="4:8" ht="12.75" customHeight="1" x14ac:dyDescent="0.3">
      <c r="D430" s="305"/>
      <c r="E430" s="302"/>
      <c r="F430" s="302"/>
      <c r="G430" s="302"/>
      <c r="H430" s="302"/>
    </row>
    <row r="431" spans="4:8" ht="12.75" customHeight="1" x14ac:dyDescent="0.3">
      <c r="D431" s="305"/>
      <c r="E431" s="302"/>
      <c r="F431" s="302"/>
      <c r="G431" s="302"/>
      <c r="H431" s="302"/>
    </row>
    <row r="432" spans="4:8" ht="12.75" customHeight="1" x14ac:dyDescent="0.3">
      <c r="D432" s="305"/>
      <c r="E432" s="302"/>
      <c r="F432" s="302"/>
      <c r="G432" s="302"/>
      <c r="H432" s="302"/>
    </row>
    <row r="433" spans="4:8" ht="12.75" customHeight="1" x14ac:dyDescent="0.3">
      <c r="D433" s="305"/>
      <c r="E433" s="302"/>
      <c r="F433" s="302"/>
      <c r="G433" s="302"/>
      <c r="H433" s="302"/>
    </row>
    <row r="434" spans="4:8" ht="12.75" customHeight="1" x14ac:dyDescent="0.3">
      <c r="D434" s="305"/>
      <c r="E434" s="302"/>
      <c r="F434" s="302"/>
      <c r="G434" s="302"/>
      <c r="H434" s="302"/>
    </row>
    <row r="435" spans="4:8" ht="12.75" customHeight="1" x14ac:dyDescent="0.3">
      <c r="D435" s="305"/>
      <c r="E435" s="302"/>
      <c r="F435" s="302"/>
      <c r="G435" s="302"/>
      <c r="H435" s="302"/>
    </row>
    <row r="436" spans="4:8" ht="12.75" customHeight="1" x14ac:dyDescent="0.3">
      <c r="D436" s="305"/>
      <c r="E436" s="302"/>
      <c r="F436" s="302"/>
      <c r="G436" s="302"/>
      <c r="H436" s="302"/>
    </row>
    <row r="437" spans="4:8" ht="12.75" customHeight="1" x14ac:dyDescent="0.3">
      <c r="D437" s="305"/>
      <c r="E437" s="302"/>
      <c r="F437" s="302"/>
      <c r="G437" s="302"/>
      <c r="H437" s="302"/>
    </row>
    <row r="438" spans="4:8" ht="12.75" customHeight="1" x14ac:dyDescent="0.3">
      <c r="D438" s="305"/>
      <c r="E438" s="302"/>
      <c r="F438" s="302"/>
      <c r="G438" s="302"/>
      <c r="H438" s="302"/>
    </row>
    <row r="439" spans="4:8" ht="12.75" customHeight="1" x14ac:dyDescent="0.3">
      <c r="D439" s="305"/>
      <c r="E439" s="302"/>
      <c r="F439" s="302"/>
      <c r="G439" s="302"/>
      <c r="H439" s="302"/>
    </row>
    <row r="440" spans="4:8" ht="12.75" customHeight="1" x14ac:dyDescent="0.3">
      <c r="D440" s="305"/>
      <c r="E440" s="302"/>
      <c r="F440" s="302"/>
      <c r="G440" s="302"/>
      <c r="H440" s="302"/>
    </row>
    <row r="441" spans="4:8" ht="12.75" customHeight="1" x14ac:dyDescent="0.3">
      <c r="D441" s="305"/>
      <c r="E441" s="302"/>
      <c r="F441" s="302"/>
      <c r="G441" s="302"/>
      <c r="H441" s="302"/>
    </row>
    <row r="442" spans="4:8" ht="12.75" customHeight="1" x14ac:dyDescent="0.3">
      <c r="D442" s="305"/>
      <c r="E442" s="302"/>
      <c r="F442" s="302"/>
      <c r="G442" s="302"/>
      <c r="H442" s="302"/>
    </row>
    <row r="443" spans="4:8" ht="12.75" customHeight="1" x14ac:dyDescent="0.3">
      <c r="D443" s="305"/>
      <c r="E443" s="302"/>
      <c r="F443" s="302"/>
      <c r="G443" s="302"/>
      <c r="H443" s="302"/>
    </row>
    <row r="444" spans="4:8" ht="12.75" customHeight="1" x14ac:dyDescent="0.3">
      <c r="D444" s="305"/>
      <c r="E444" s="302"/>
      <c r="F444" s="302"/>
      <c r="G444" s="302"/>
      <c r="H444" s="302"/>
    </row>
    <row r="445" spans="4:8" ht="12.75" customHeight="1" x14ac:dyDescent="0.3">
      <c r="D445" s="305"/>
      <c r="E445" s="302"/>
      <c r="F445" s="302"/>
      <c r="G445" s="302"/>
      <c r="H445" s="302"/>
    </row>
    <row r="446" spans="4:8" ht="12.75" customHeight="1" x14ac:dyDescent="0.3">
      <c r="D446" s="305"/>
      <c r="E446" s="302"/>
      <c r="F446" s="302"/>
      <c r="G446" s="302"/>
      <c r="H446" s="302"/>
    </row>
    <row r="447" spans="4:8" ht="12.75" customHeight="1" x14ac:dyDescent="0.3">
      <c r="D447" s="305"/>
      <c r="E447" s="302"/>
      <c r="F447" s="302"/>
      <c r="G447" s="302"/>
      <c r="H447" s="302"/>
    </row>
    <row r="448" spans="4:8" ht="12.75" customHeight="1" x14ac:dyDescent="0.3">
      <c r="D448" s="305"/>
      <c r="E448" s="302"/>
      <c r="F448" s="302"/>
      <c r="G448" s="302"/>
      <c r="H448" s="302"/>
    </row>
    <row r="449" spans="4:8" ht="12.75" customHeight="1" x14ac:dyDescent="0.3">
      <c r="D449" s="305"/>
      <c r="E449" s="302"/>
      <c r="F449" s="302"/>
      <c r="G449" s="302"/>
      <c r="H449" s="302"/>
    </row>
    <row r="450" spans="4:8" ht="12.75" customHeight="1" x14ac:dyDescent="0.3">
      <c r="D450" s="305"/>
      <c r="E450" s="302"/>
      <c r="F450" s="302"/>
      <c r="G450" s="302"/>
      <c r="H450" s="302"/>
    </row>
    <row r="451" spans="4:8" ht="12.75" customHeight="1" x14ac:dyDescent="0.3">
      <c r="D451" s="305"/>
      <c r="E451" s="302"/>
      <c r="F451" s="302"/>
      <c r="G451" s="302"/>
      <c r="H451" s="302"/>
    </row>
    <row r="452" spans="4:8" ht="12.75" customHeight="1" x14ac:dyDescent="0.3">
      <c r="D452" s="305"/>
      <c r="E452" s="302"/>
      <c r="F452" s="302"/>
      <c r="G452" s="302"/>
      <c r="H452" s="302"/>
    </row>
    <row r="453" spans="4:8" ht="12.75" customHeight="1" x14ac:dyDescent="0.3">
      <c r="D453" s="305"/>
      <c r="E453" s="302"/>
      <c r="F453" s="302"/>
      <c r="G453" s="302"/>
      <c r="H453" s="302"/>
    </row>
    <row r="454" spans="4:8" ht="12.75" customHeight="1" x14ac:dyDescent="0.3">
      <c r="D454" s="305"/>
      <c r="E454" s="302"/>
      <c r="F454" s="302"/>
      <c r="G454" s="302"/>
      <c r="H454" s="302"/>
    </row>
    <row r="455" spans="4:8" ht="12.75" customHeight="1" x14ac:dyDescent="0.3">
      <c r="D455" s="305"/>
      <c r="E455" s="302"/>
      <c r="F455" s="302"/>
      <c r="G455" s="302"/>
      <c r="H455" s="302"/>
    </row>
    <row r="456" spans="4:8" ht="12.75" customHeight="1" x14ac:dyDescent="0.3">
      <c r="D456" s="305"/>
      <c r="E456" s="302"/>
      <c r="F456" s="302"/>
      <c r="G456" s="302"/>
      <c r="H456" s="302"/>
    </row>
    <row r="457" spans="4:8" ht="12.75" customHeight="1" x14ac:dyDescent="0.3">
      <c r="D457" s="305"/>
      <c r="E457" s="302"/>
      <c r="F457" s="302"/>
      <c r="G457" s="302"/>
      <c r="H457" s="302"/>
    </row>
    <row r="458" spans="4:8" ht="12.75" customHeight="1" x14ac:dyDescent="0.3">
      <c r="D458" s="305"/>
      <c r="E458" s="302"/>
      <c r="F458" s="302"/>
      <c r="G458" s="302"/>
      <c r="H458" s="302"/>
    </row>
    <row r="459" spans="4:8" ht="12.75" customHeight="1" x14ac:dyDescent="0.3">
      <c r="D459" s="305"/>
      <c r="E459" s="302"/>
      <c r="F459" s="302"/>
      <c r="G459" s="302"/>
      <c r="H459" s="302"/>
    </row>
    <row r="460" spans="4:8" ht="12.75" customHeight="1" x14ac:dyDescent="0.3">
      <c r="D460" s="305"/>
      <c r="E460" s="302"/>
      <c r="F460" s="302"/>
      <c r="G460" s="302"/>
      <c r="H460" s="302"/>
    </row>
    <row r="461" spans="4:8" ht="12.75" customHeight="1" x14ac:dyDescent="0.3">
      <c r="D461" s="305"/>
      <c r="E461" s="302"/>
      <c r="F461" s="302"/>
      <c r="G461" s="302"/>
      <c r="H461" s="302"/>
    </row>
    <row r="462" spans="4:8" ht="12.75" customHeight="1" x14ac:dyDescent="0.3">
      <c r="D462" s="305"/>
      <c r="E462" s="302"/>
      <c r="F462" s="302"/>
      <c r="G462" s="302"/>
      <c r="H462" s="302"/>
    </row>
    <row r="463" spans="4:8" ht="12.75" customHeight="1" x14ac:dyDescent="0.3">
      <c r="D463" s="305"/>
      <c r="E463" s="302"/>
      <c r="F463" s="302"/>
      <c r="G463" s="302"/>
      <c r="H463" s="302"/>
    </row>
    <row r="464" spans="4:8" ht="12.75" customHeight="1" x14ac:dyDescent="0.3">
      <c r="D464" s="305"/>
      <c r="E464" s="302"/>
      <c r="F464" s="302"/>
      <c r="G464" s="302"/>
      <c r="H464" s="302"/>
    </row>
    <row r="465" spans="4:8" ht="12.75" customHeight="1" x14ac:dyDescent="0.3">
      <c r="D465" s="305"/>
      <c r="E465" s="302"/>
      <c r="F465" s="302"/>
      <c r="G465" s="302"/>
      <c r="H465" s="302"/>
    </row>
    <row r="466" spans="4:8" ht="12.75" customHeight="1" x14ac:dyDescent="0.3">
      <c r="D466" s="305"/>
      <c r="E466" s="302"/>
      <c r="F466" s="302"/>
      <c r="G466" s="302"/>
      <c r="H466" s="302"/>
    </row>
    <row r="467" spans="4:8" ht="12.75" customHeight="1" x14ac:dyDescent="0.3">
      <c r="D467" s="305"/>
      <c r="E467" s="302"/>
      <c r="F467" s="302"/>
      <c r="G467" s="302"/>
      <c r="H467" s="302"/>
    </row>
    <row r="468" spans="4:8" ht="12.75" customHeight="1" x14ac:dyDescent="0.3">
      <c r="D468" s="305"/>
      <c r="E468" s="302"/>
      <c r="F468" s="302"/>
      <c r="G468" s="302"/>
      <c r="H468" s="302"/>
    </row>
    <row r="469" spans="4:8" ht="12.75" customHeight="1" x14ac:dyDescent="0.3">
      <c r="D469" s="305"/>
      <c r="E469" s="302"/>
      <c r="F469" s="302"/>
      <c r="G469" s="302"/>
      <c r="H469" s="302"/>
    </row>
    <row r="470" spans="4:8" ht="12.75" customHeight="1" x14ac:dyDescent="0.3">
      <c r="D470" s="305"/>
      <c r="E470" s="302"/>
      <c r="F470" s="302"/>
      <c r="G470" s="302"/>
      <c r="H470" s="302"/>
    </row>
    <row r="471" spans="4:8" ht="12.75" customHeight="1" x14ac:dyDescent="0.3">
      <c r="D471" s="305"/>
      <c r="E471" s="302"/>
      <c r="F471" s="302"/>
      <c r="G471" s="302"/>
      <c r="H471" s="302"/>
    </row>
    <row r="472" spans="4:8" ht="12.75" customHeight="1" x14ac:dyDescent="0.3">
      <c r="D472" s="305"/>
      <c r="E472" s="302"/>
      <c r="F472" s="302"/>
      <c r="G472" s="302"/>
      <c r="H472" s="302"/>
    </row>
    <row r="473" spans="4:8" ht="12.75" customHeight="1" x14ac:dyDescent="0.3">
      <c r="D473" s="305"/>
      <c r="E473" s="302"/>
      <c r="F473" s="302"/>
      <c r="G473" s="302"/>
      <c r="H473" s="302"/>
    </row>
    <row r="474" spans="4:8" ht="12.75" customHeight="1" x14ac:dyDescent="0.3">
      <c r="D474" s="305"/>
      <c r="E474" s="302"/>
      <c r="F474" s="302"/>
      <c r="G474" s="302"/>
      <c r="H474" s="302"/>
    </row>
    <row r="475" spans="4:8" ht="12.75" customHeight="1" x14ac:dyDescent="0.3">
      <c r="D475" s="305"/>
      <c r="E475" s="302"/>
      <c r="F475" s="302"/>
      <c r="G475" s="302"/>
      <c r="H475" s="302"/>
    </row>
    <row r="476" spans="4:8" ht="12.75" customHeight="1" x14ac:dyDescent="0.3">
      <c r="D476" s="305"/>
      <c r="E476" s="302"/>
      <c r="F476" s="302"/>
      <c r="G476" s="302"/>
      <c r="H476" s="302"/>
    </row>
    <row r="477" spans="4:8" ht="12.75" customHeight="1" x14ac:dyDescent="0.3">
      <c r="D477" s="305"/>
      <c r="E477" s="302"/>
      <c r="F477" s="302"/>
      <c r="G477" s="302"/>
      <c r="H477" s="302"/>
    </row>
    <row r="478" spans="4:8" ht="12.75" customHeight="1" x14ac:dyDescent="0.3">
      <c r="D478" s="305"/>
      <c r="E478" s="302"/>
      <c r="F478" s="302"/>
      <c r="G478" s="302"/>
      <c r="H478" s="302"/>
    </row>
    <row r="479" spans="4:8" ht="12.75" customHeight="1" x14ac:dyDescent="0.3">
      <c r="D479" s="305"/>
      <c r="E479" s="302"/>
      <c r="F479" s="302"/>
      <c r="G479" s="302"/>
      <c r="H479" s="302"/>
    </row>
    <row r="480" spans="4:8" ht="12.75" customHeight="1" x14ac:dyDescent="0.3">
      <c r="D480" s="305"/>
      <c r="E480" s="302"/>
      <c r="F480" s="302"/>
      <c r="G480" s="302"/>
      <c r="H480" s="302"/>
    </row>
    <row r="481" spans="4:8" ht="12.75" customHeight="1" x14ac:dyDescent="0.3">
      <c r="D481" s="305"/>
      <c r="E481" s="302"/>
      <c r="F481" s="302"/>
      <c r="G481" s="302"/>
      <c r="H481" s="302"/>
    </row>
    <row r="482" spans="4:8" ht="12.75" customHeight="1" x14ac:dyDescent="0.3">
      <c r="D482" s="305"/>
      <c r="E482" s="302"/>
      <c r="F482" s="302"/>
      <c r="G482" s="302"/>
      <c r="H482" s="302"/>
    </row>
    <row r="483" spans="4:8" ht="12.75" customHeight="1" x14ac:dyDescent="0.3">
      <c r="D483" s="305"/>
      <c r="E483" s="302"/>
      <c r="F483" s="302"/>
      <c r="G483" s="302"/>
      <c r="H483" s="302"/>
    </row>
    <row r="484" spans="4:8" ht="12.75" customHeight="1" x14ac:dyDescent="0.3">
      <c r="D484" s="305"/>
      <c r="E484" s="302"/>
      <c r="F484" s="302"/>
      <c r="G484" s="302"/>
      <c r="H484" s="302"/>
    </row>
    <row r="485" spans="4:8" ht="12.75" customHeight="1" x14ac:dyDescent="0.3">
      <c r="D485" s="305"/>
      <c r="E485" s="302"/>
      <c r="F485" s="302"/>
      <c r="G485" s="302"/>
      <c r="H485" s="302"/>
    </row>
    <row r="486" spans="4:8" ht="12.75" customHeight="1" x14ac:dyDescent="0.3">
      <c r="D486" s="305"/>
      <c r="E486" s="302"/>
      <c r="F486" s="302"/>
      <c r="G486" s="302"/>
      <c r="H486" s="302"/>
    </row>
    <row r="487" spans="4:8" ht="12.75" customHeight="1" x14ac:dyDescent="0.3">
      <c r="D487" s="305"/>
      <c r="E487" s="302"/>
      <c r="F487" s="302"/>
      <c r="G487" s="302"/>
      <c r="H487" s="302"/>
    </row>
    <row r="488" spans="4:8" ht="12.75" customHeight="1" x14ac:dyDescent="0.3">
      <c r="D488" s="305"/>
      <c r="E488" s="302"/>
      <c r="F488" s="302"/>
      <c r="G488" s="302"/>
      <c r="H488" s="302"/>
    </row>
    <row r="489" spans="4:8" ht="12.75" customHeight="1" x14ac:dyDescent="0.3">
      <c r="D489" s="305"/>
      <c r="E489" s="302"/>
      <c r="F489" s="302"/>
      <c r="G489" s="302"/>
      <c r="H489" s="302"/>
    </row>
    <row r="490" spans="4:8" ht="12.75" customHeight="1" x14ac:dyDescent="0.3">
      <c r="D490" s="305"/>
      <c r="E490" s="302"/>
      <c r="F490" s="302"/>
      <c r="G490" s="302"/>
      <c r="H490" s="302"/>
    </row>
    <row r="491" spans="4:8" ht="12.75" customHeight="1" x14ac:dyDescent="0.3">
      <c r="D491" s="305"/>
      <c r="E491" s="302"/>
      <c r="F491" s="302"/>
      <c r="G491" s="302"/>
      <c r="H491" s="302"/>
    </row>
    <row r="492" spans="4:8" ht="12.75" customHeight="1" x14ac:dyDescent="0.3">
      <c r="D492" s="305"/>
      <c r="E492" s="302"/>
      <c r="F492" s="302"/>
      <c r="G492" s="302"/>
      <c r="H492" s="302"/>
    </row>
    <row r="493" spans="4:8" ht="12.75" customHeight="1" x14ac:dyDescent="0.3">
      <c r="D493" s="305"/>
      <c r="E493" s="302"/>
      <c r="F493" s="302"/>
      <c r="G493" s="302"/>
      <c r="H493" s="302"/>
    </row>
    <row r="494" spans="4:8" ht="12.75" customHeight="1" x14ac:dyDescent="0.3">
      <c r="D494" s="305"/>
      <c r="E494" s="302"/>
      <c r="F494" s="302"/>
      <c r="G494" s="302"/>
      <c r="H494" s="302"/>
    </row>
    <row r="495" spans="4:8" ht="12.75" customHeight="1" x14ac:dyDescent="0.3">
      <c r="D495" s="305"/>
      <c r="E495" s="302"/>
      <c r="F495" s="302"/>
      <c r="G495" s="302"/>
      <c r="H495" s="302"/>
    </row>
    <row r="496" spans="4:8" ht="12.75" customHeight="1" x14ac:dyDescent="0.3">
      <c r="D496" s="305"/>
      <c r="E496" s="302"/>
      <c r="F496" s="302"/>
      <c r="G496" s="302"/>
      <c r="H496" s="302"/>
    </row>
    <row r="497" spans="4:8" ht="12.75" customHeight="1" x14ac:dyDescent="0.3">
      <c r="D497" s="305"/>
      <c r="E497" s="302"/>
      <c r="F497" s="302"/>
      <c r="G497" s="302"/>
      <c r="H497" s="302"/>
    </row>
    <row r="498" spans="4:8" ht="12.75" customHeight="1" x14ac:dyDescent="0.3">
      <c r="D498" s="305"/>
      <c r="E498" s="302"/>
      <c r="F498" s="302"/>
      <c r="G498" s="302"/>
      <c r="H498" s="302"/>
    </row>
    <row r="499" spans="4:8" ht="12.75" customHeight="1" x14ac:dyDescent="0.3">
      <c r="D499" s="305"/>
      <c r="E499" s="302"/>
      <c r="F499" s="302"/>
      <c r="G499" s="302"/>
      <c r="H499" s="302"/>
    </row>
    <row r="500" spans="4:8" ht="12.75" customHeight="1" x14ac:dyDescent="0.3">
      <c r="D500" s="305"/>
      <c r="E500" s="302"/>
      <c r="F500" s="302"/>
      <c r="G500" s="302"/>
      <c r="H500" s="302"/>
    </row>
    <row r="501" spans="4:8" ht="12.75" customHeight="1" x14ac:dyDescent="0.3">
      <c r="D501" s="305"/>
      <c r="E501" s="302"/>
      <c r="F501" s="302"/>
      <c r="G501" s="302"/>
      <c r="H501" s="302"/>
    </row>
    <row r="502" spans="4:8" ht="12.75" customHeight="1" x14ac:dyDescent="0.3">
      <c r="D502" s="305"/>
      <c r="E502" s="302"/>
      <c r="F502" s="302"/>
      <c r="G502" s="302"/>
      <c r="H502" s="302"/>
    </row>
    <row r="503" spans="4:8" ht="12.75" customHeight="1" x14ac:dyDescent="0.3">
      <c r="D503" s="305"/>
      <c r="E503" s="302"/>
      <c r="F503" s="302"/>
      <c r="G503" s="302"/>
      <c r="H503" s="302"/>
    </row>
    <row r="504" spans="4:8" ht="12.75" customHeight="1" x14ac:dyDescent="0.3">
      <c r="D504" s="305"/>
      <c r="E504" s="302"/>
      <c r="F504" s="302"/>
      <c r="G504" s="302"/>
      <c r="H504" s="302"/>
    </row>
    <row r="505" spans="4:8" ht="12.75" customHeight="1" x14ac:dyDescent="0.3">
      <c r="D505" s="305"/>
      <c r="E505" s="302"/>
      <c r="F505" s="302"/>
      <c r="G505" s="302"/>
      <c r="H505" s="302"/>
    </row>
    <row r="506" spans="4:8" ht="12.75" customHeight="1" x14ac:dyDescent="0.3">
      <c r="D506" s="305"/>
      <c r="E506" s="302"/>
      <c r="F506" s="302"/>
      <c r="G506" s="302"/>
      <c r="H506" s="302"/>
    </row>
    <row r="507" spans="4:8" ht="12.75" customHeight="1" x14ac:dyDescent="0.3">
      <c r="D507" s="305"/>
      <c r="E507" s="302"/>
      <c r="F507" s="302"/>
      <c r="G507" s="302"/>
      <c r="H507" s="302"/>
    </row>
    <row r="508" spans="4:8" ht="12.75" customHeight="1" x14ac:dyDescent="0.3">
      <c r="D508" s="305"/>
      <c r="E508" s="302"/>
      <c r="F508" s="302"/>
      <c r="G508" s="302"/>
      <c r="H508" s="302"/>
    </row>
    <row r="509" spans="4:8" ht="12.75" customHeight="1" x14ac:dyDescent="0.3">
      <c r="D509" s="305"/>
      <c r="E509" s="302"/>
      <c r="F509" s="302"/>
      <c r="G509" s="302"/>
      <c r="H509" s="302"/>
    </row>
    <row r="510" spans="4:8" ht="12.75" customHeight="1" x14ac:dyDescent="0.3">
      <c r="D510" s="305"/>
      <c r="E510" s="302"/>
      <c r="F510" s="302"/>
      <c r="G510" s="302"/>
      <c r="H510" s="302"/>
    </row>
    <row r="511" spans="4:8" ht="12.75" customHeight="1" x14ac:dyDescent="0.3">
      <c r="D511" s="305"/>
      <c r="E511" s="302"/>
      <c r="F511" s="302"/>
      <c r="G511" s="302"/>
      <c r="H511" s="302"/>
    </row>
    <row r="512" spans="4:8" ht="12.75" customHeight="1" x14ac:dyDescent="0.3">
      <c r="D512" s="305"/>
      <c r="E512" s="302"/>
      <c r="F512" s="302"/>
      <c r="G512" s="302"/>
      <c r="H512" s="302"/>
    </row>
    <row r="513" spans="4:8" ht="12.75" customHeight="1" x14ac:dyDescent="0.3">
      <c r="D513" s="305"/>
      <c r="E513" s="302"/>
      <c r="F513" s="302"/>
      <c r="G513" s="302"/>
      <c r="H513" s="302"/>
    </row>
    <row r="514" spans="4:8" ht="12.75" customHeight="1" x14ac:dyDescent="0.3">
      <c r="D514" s="305"/>
      <c r="E514" s="302"/>
      <c r="F514" s="302"/>
      <c r="G514" s="302"/>
      <c r="H514" s="302"/>
    </row>
    <row r="515" spans="4:8" ht="12.75" customHeight="1" x14ac:dyDescent="0.3">
      <c r="D515" s="305"/>
      <c r="E515" s="302"/>
      <c r="F515" s="302"/>
      <c r="G515" s="302"/>
      <c r="H515" s="302"/>
    </row>
    <row r="516" spans="4:8" ht="12.75" customHeight="1" x14ac:dyDescent="0.3">
      <c r="D516" s="305"/>
      <c r="E516" s="302"/>
      <c r="F516" s="302"/>
      <c r="G516" s="302"/>
      <c r="H516" s="302"/>
    </row>
    <row r="517" spans="4:8" ht="12.75" customHeight="1" x14ac:dyDescent="0.3">
      <c r="D517" s="305"/>
      <c r="E517" s="302"/>
      <c r="F517" s="302"/>
      <c r="G517" s="302"/>
      <c r="H517" s="302"/>
    </row>
    <row r="518" spans="4:8" ht="12.75" customHeight="1" x14ac:dyDescent="0.3">
      <c r="D518" s="305"/>
      <c r="E518" s="302"/>
      <c r="F518" s="302"/>
      <c r="G518" s="302"/>
      <c r="H518" s="302"/>
    </row>
    <row r="519" spans="4:8" ht="12.75" customHeight="1" x14ac:dyDescent="0.3">
      <c r="D519" s="305"/>
      <c r="E519" s="302"/>
      <c r="F519" s="302"/>
      <c r="G519" s="302"/>
      <c r="H519" s="302"/>
    </row>
    <row r="520" spans="4:8" ht="12.75" customHeight="1" x14ac:dyDescent="0.3">
      <c r="D520" s="305"/>
      <c r="E520" s="302"/>
      <c r="F520" s="302"/>
      <c r="G520" s="302"/>
      <c r="H520" s="302"/>
    </row>
    <row r="521" spans="4:8" ht="12.75" customHeight="1" x14ac:dyDescent="0.3">
      <c r="D521" s="305"/>
      <c r="E521" s="302"/>
      <c r="F521" s="302"/>
      <c r="G521" s="302"/>
      <c r="H521" s="302"/>
    </row>
    <row r="522" spans="4:8" ht="12.75" customHeight="1" x14ac:dyDescent="0.3">
      <c r="D522" s="305"/>
      <c r="E522" s="302"/>
      <c r="F522" s="302"/>
      <c r="G522" s="302"/>
      <c r="H522" s="302"/>
    </row>
    <row r="523" spans="4:8" ht="12.75" customHeight="1" x14ac:dyDescent="0.3">
      <c r="D523" s="305"/>
      <c r="E523" s="302"/>
      <c r="F523" s="302"/>
      <c r="G523" s="302"/>
      <c r="H523" s="302"/>
    </row>
    <row r="524" spans="4:8" ht="12.75" customHeight="1" x14ac:dyDescent="0.3">
      <c r="D524" s="305"/>
      <c r="E524" s="302"/>
      <c r="F524" s="302"/>
      <c r="G524" s="302"/>
      <c r="H524" s="302"/>
    </row>
    <row r="525" spans="4:8" ht="12.75" customHeight="1" x14ac:dyDescent="0.3">
      <c r="D525" s="305"/>
      <c r="E525" s="302"/>
      <c r="F525" s="302"/>
      <c r="G525" s="302"/>
      <c r="H525" s="302"/>
    </row>
    <row r="526" spans="4:8" ht="12.75" customHeight="1" x14ac:dyDescent="0.3">
      <c r="D526" s="305"/>
      <c r="E526" s="302"/>
      <c r="F526" s="302"/>
      <c r="G526" s="302"/>
      <c r="H526" s="302"/>
    </row>
    <row r="527" spans="4:8" ht="12.75" customHeight="1" x14ac:dyDescent="0.3">
      <c r="D527" s="305"/>
      <c r="E527" s="302"/>
      <c r="F527" s="302"/>
      <c r="G527" s="302"/>
      <c r="H527" s="302"/>
    </row>
    <row r="528" spans="4:8" ht="12.75" customHeight="1" x14ac:dyDescent="0.3">
      <c r="D528" s="305"/>
      <c r="E528" s="302"/>
      <c r="F528" s="302"/>
      <c r="G528" s="302"/>
      <c r="H528" s="302"/>
    </row>
    <row r="529" spans="4:8" ht="12.75" customHeight="1" x14ac:dyDescent="0.3">
      <c r="D529" s="305"/>
      <c r="E529" s="302"/>
      <c r="F529" s="302"/>
      <c r="G529" s="302"/>
      <c r="H529" s="302"/>
    </row>
    <row r="530" spans="4:8" ht="12.75" customHeight="1" x14ac:dyDescent="0.3">
      <c r="D530" s="305"/>
      <c r="E530" s="302"/>
      <c r="F530" s="302"/>
      <c r="G530" s="302"/>
      <c r="H530" s="302"/>
    </row>
    <row r="531" spans="4:8" ht="12.75" customHeight="1" x14ac:dyDescent="0.3">
      <c r="D531" s="305"/>
      <c r="E531" s="302"/>
      <c r="F531" s="302"/>
      <c r="G531" s="302"/>
      <c r="H531" s="302"/>
    </row>
    <row r="532" spans="4:8" ht="12.75" customHeight="1" x14ac:dyDescent="0.3">
      <c r="D532" s="305"/>
      <c r="E532" s="302"/>
      <c r="F532" s="302"/>
      <c r="G532" s="302"/>
      <c r="H532" s="302"/>
    </row>
    <row r="533" spans="4:8" ht="12.75" customHeight="1" x14ac:dyDescent="0.3">
      <c r="D533" s="305"/>
      <c r="E533" s="302"/>
      <c r="F533" s="302"/>
      <c r="G533" s="302"/>
      <c r="H533" s="302"/>
    </row>
    <row r="534" spans="4:8" ht="12.75" customHeight="1" x14ac:dyDescent="0.3">
      <c r="D534" s="305"/>
      <c r="E534" s="302"/>
      <c r="F534" s="302"/>
      <c r="G534" s="302"/>
      <c r="H534" s="302"/>
    </row>
    <row r="535" spans="4:8" ht="12.75" customHeight="1" x14ac:dyDescent="0.3">
      <c r="D535" s="305"/>
      <c r="E535" s="302"/>
      <c r="F535" s="302"/>
      <c r="G535" s="302"/>
      <c r="H535" s="302"/>
    </row>
    <row r="536" spans="4:8" ht="12.75" customHeight="1" x14ac:dyDescent="0.3">
      <c r="D536" s="305"/>
      <c r="E536" s="302"/>
      <c r="F536" s="302"/>
      <c r="G536" s="302"/>
      <c r="H536" s="302"/>
    </row>
    <row r="537" spans="4:8" ht="12.75" customHeight="1" x14ac:dyDescent="0.3">
      <c r="D537" s="305"/>
      <c r="E537" s="302"/>
      <c r="F537" s="302"/>
      <c r="G537" s="302"/>
      <c r="H537" s="302"/>
    </row>
    <row r="538" spans="4:8" ht="12.75" customHeight="1" x14ac:dyDescent="0.3">
      <c r="D538" s="305"/>
      <c r="E538" s="302"/>
      <c r="F538" s="302"/>
      <c r="G538" s="302"/>
      <c r="H538" s="302"/>
    </row>
    <row r="539" spans="4:8" ht="12.75" customHeight="1" x14ac:dyDescent="0.3">
      <c r="D539" s="305"/>
      <c r="E539" s="302"/>
      <c r="F539" s="302"/>
      <c r="G539" s="302"/>
      <c r="H539" s="302"/>
    </row>
    <row r="540" spans="4:8" ht="12.75" customHeight="1" x14ac:dyDescent="0.3">
      <c r="D540" s="305"/>
      <c r="E540" s="302"/>
      <c r="F540" s="302"/>
      <c r="G540" s="302"/>
      <c r="H540" s="302"/>
    </row>
    <row r="541" spans="4:8" ht="12.75" customHeight="1" x14ac:dyDescent="0.3">
      <c r="D541" s="305"/>
      <c r="E541" s="302"/>
      <c r="F541" s="302"/>
      <c r="G541" s="302"/>
      <c r="H541" s="302"/>
    </row>
    <row r="542" spans="4:8" ht="12.75" customHeight="1" x14ac:dyDescent="0.3">
      <c r="D542" s="305"/>
      <c r="E542" s="302"/>
      <c r="F542" s="302"/>
      <c r="G542" s="302"/>
      <c r="H542" s="302"/>
    </row>
    <row r="543" spans="4:8" ht="12.75" customHeight="1" x14ac:dyDescent="0.3">
      <c r="D543" s="305"/>
      <c r="E543" s="302"/>
      <c r="F543" s="302"/>
      <c r="G543" s="302"/>
      <c r="H543" s="302"/>
    </row>
    <row r="544" spans="4:8" ht="12.75" customHeight="1" x14ac:dyDescent="0.3">
      <c r="D544" s="305"/>
      <c r="E544" s="302"/>
      <c r="F544" s="302"/>
      <c r="G544" s="302"/>
      <c r="H544" s="302"/>
    </row>
    <row r="545" spans="4:8" ht="12.75" customHeight="1" x14ac:dyDescent="0.3">
      <c r="D545" s="305"/>
      <c r="E545" s="302"/>
      <c r="F545" s="302"/>
      <c r="G545" s="302"/>
      <c r="H545" s="302"/>
    </row>
    <row r="546" spans="4:8" ht="12.75" customHeight="1" x14ac:dyDescent="0.3">
      <c r="D546" s="305"/>
      <c r="E546" s="302"/>
      <c r="F546" s="302"/>
      <c r="G546" s="302"/>
      <c r="H546" s="302"/>
    </row>
    <row r="547" spans="4:8" ht="12.75" customHeight="1" x14ac:dyDescent="0.3">
      <c r="D547" s="305"/>
      <c r="E547" s="302"/>
      <c r="F547" s="302"/>
      <c r="G547" s="302"/>
      <c r="H547" s="302"/>
    </row>
    <row r="548" spans="4:8" ht="12.75" customHeight="1" x14ac:dyDescent="0.3">
      <c r="D548" s="305"/>
      <c r="E548" s="302"/>
      <c r="F548" s="302"/>
      <c r="G548" s="302"/>
      <c r="H548" s="302"/>
    </row>
    <row r="549" spans="4:8" ht="12.75" customHeight="1" x14ac:dyDescent="0.3">
      <c r="D549" s="305"/>
      <c r="E549" s="302"/>
      <c r="F549" s="302"/>
      <c r="G549" s="302"/>
      <c r="H549" s="302"/>
    </row>
    <row r="550" spans="4:8" ht="12.75" customHeight="1" x14ac:dyDescent="0.3">
      <c r="D550" s="305"/>
      <c r="E550" s="302"/>
      <c r="F550" s="302"/>
      <c r="G550" s="302"/>
      <c r="H550" s="302"/>
    </row>
    <row r="551" spans="4:8" ht="12.75" customHeight="1" x14ac:dyDescent="0.3">
      <c r="D551" s="305"/>
      <c r="E551" s="302"/>
      <c r="F551" s="302"/>
      <c r="G551" s="302"/>
      <c r="H551" s="302"/>
    </row>
    <row r="552" spans="4:8" ht="12.75" customHeight="1" x14ac:dyDescent="0.3">
      <c r="D552" s="305"/>
      <c r="E552" s="302"/>
      <c r="F552" s="302"/>
      <c r="G552" s="302"/>
      <c r="H552" s="302"/>
    </row>
    <row r="553" spans="4:8" ht="12.75" customHeight="1" x14ac:dyDescent="0.3">
      <c r="D553" s="305"/>
      <c r="E553" s="302"/>
      <c r="F553" s="302"/>
      <c r="G553" s="302"/>
      <c r="H553" s="302"/>
    </row>
    <row r="554" spans="4:8" ht="12.75" customHeight="1" x14ac:dyDescent="0.3">
      <c r="D554" s="305"/>
      <c r="E554" s="302"/>
      <c r="F554" s="302"/>
      <c r="G554" s="302"/>
      <c r="H554" s="302"/>
    </row>
    <row r="555" spans="4:8" ht="12.75" customHeight="1" x14ac:dyDescent="0.3">
      <c r="D555" s="305"/>
      <c r="E555" s="302"/>
      <c r="F555" s="302"/>
      <c r="G555" s="302"/>
      <c r="H555" s="302"/>
    </row>
    <row r="556" spans="4:8" ht="12.75" customHeight="1" x14ac:dyDescent="0.3">
      <c r="D556" s="305"/>
      <c r="E556" s="302"/>
      <c r="F556" s="302"/>
      <c r="G556" s="302"/>
      <c r="H556" s="302"/>
    </row>
    <row r="557" spans="4:8" ht="12.75" customHeight="1" x14ac:dyDescent="0.3">
      <c r="D557" s="305"/>
      <c r="E557" s="302"/>
      <c r="F557" s="302"/>
      <c r="G557" s="302"/>
      <c r="H557" s="302"/>
    </row>
    <row r="558" spans="4:8" ht="12.75" customHeight="1" x14ac:dyDescent="0.3">
      <c r="D558" s="305"/>
      <c r="E558" s="302"/>
      <c r="F558" s="302"/>
      <c r="G558" s="302"/>
      <c r="H558" s="302"/>
    </row>
    <row r="559" spans="4:8" ht="12.75" customHeight="1" x14ac:dyDescent="0.3">
      <c r="D559" s="305"/>
      <c r="E559" s="302"/>
      <c r="F559" s="302"/>
      <c r="G559" s="302"/>
      <c r="H559" s="302"/>
    </row>
    <row r="560" spans="4:8" ht="12.75" customHeight="1" x14ac:dyDescent="0.3">
      <c r="D560" s="305"/>
      <c r="E560" s="302"/>
      <c r="F560" s="302"/>
      <c r="G560" s="302"/>
      <c r="H560" s="302"/>
    </row>
    <row r="561" spans="4:8" ht="12.75" customHeight="1" x14ac:dyDescent="0.3">
      <c r="D561" s="305"/>
      <c r="E561" s="302"/>
      <c r="F561" s="302"/>
      <c r="G561" s="302"/>
      <c r="H561" s="302"/>
    </row>
    <row r="562" spans="4:8" ht="12.75" customHeight="1" x14ac:dyDescent="0.3">
      <c r="D562" s="305"/>
      <c r="E562" s="302"/>
      <c r="F562" s="302"/>
      <c r="G562" s="302"/>
      <c r="H562" s="302"/>
    </row>
    <row r="563" spans="4:8" ht="12.75" customHeight="1" x14ac:dyDescent="0.3">
      <c r="D563" s="305"/>
      <c r="E563" s="302"/>
      <c r="F563" s="302"/>
      <c r="G563" s="302"/>
      <c r="H563" s="302"/>
    </row>
    <row r="564" spans="4:8" ht="12.75" customHeight="1" x14ac:dyDescent="0.3">
      <c r="D564" s="305"/>
      <c r="E564" s="302"/>
      <c r="F564" s="302"/>
      <c r="G564" s="302"/>
      <c r="H564" s="302"/>
    </row>
    <row r="565" spans="4:8" ht="12.75" customHeight="1" x14ac:dyDescent="0.3">
      <c r="D565" s="305"/>
      <c r="E565" s="302"/>
      <c r="F565" s="302"/>
      <c r="G565" s="302"/>
      <c r="H565" s="302"/>
    </row>
    <row r="566" spans="4:8" ht="12.75" customHeight="1" x14ac:dyDescent="0.3">
      <c r="D566" s="305"/>
      <c r="E566" s="302"/>
      <c r="F566" s="302"/>
      <c r="G566" s="302"/>
      <c r="H566" s="302"/>
    </row>
    <row r="567" spans="4:8" ht="12.75" customHeight="1" x14ac:dyDescent="0.3">
      <c r="D567" s="305"/>
      <c r="E567" s="302"/>
      <c r="F567" s="302"/>
      <c r="G567" s="302"/>
      <c r="H567" s="302"/>
    </row>
    <row r="568" spans="4:8" ht="12.75" customHeight="1" x14ac:dyDescent="0.3">
      <c r="D568" s="305"/>
      <c r="E568" s="302"/>
      <c r="F568" s="302"/>
      <c r="G568" s="302"/>
      <c r="H568" s="302"/>
    </row>
    <row r="569" spans="4:8" ht="12.75" customHeight="1" x14ac:dyDescent="0.3">
      <c r="D569" s="305"/>
      <c r="E569" s="302"/>
      <c r="F569" s="302"/>
      <c r="G569" s="302"/>
      <c r="H569" s="302"/>
    </row>
    <row r="570" spans="4:8" ht="12.75" customHeight="1" x14ac:dyDescent="0.3">
      <c r="D570" s="305"/>
      <c r="E570" s="302"/>
      <c r="F570" s="302"/>
      <c r="G570" s="302"/>
      <c r="H570" s="302"/>
    </row>
    <row r="571" spans="4:8" ht="12.75" customHeight="1" x14ac:dyDescent="0.3">
      <c r="D571" s="305"/>
      <c r="E571" s="302"/>
      <c r="F571" s="302"/>
      <c r="G571" s="302"/>
      <c r="H571" s="302"/>
    </row>
    <row r="572" spans="4:8" ht="12.75" customHeight="1" x14ac:dyDescent="0.3">
      <c r="D572" s="305"/>
      <c r="E572" s="302"/>
      <c r="F572" s="302"/>
      <c r="G572" s="302"/>
      <c r="H572" s="302"/>
    </row>
    <row r="573" spans="4:8" ht="12.75" customHeight="1" x14ac:dyDescent="0.3">
      <c r="D573" s="305"/>
      <c r="E573" s="302"/>
      <c r="F573" s="302"/>
      <c r="G573" s="302"/>
      <c r="H573" s="302"/>
    </row>
    <row r="574" spans="4:8" ht="12.75" customHeight="1" x14ac:dyDescent="0.3">
      <c r="D574" s="305"/>
      <c r="E574" s="302"/>
      <c r="F574" s="302"/>
      <c r="G574" s="302"/>
      <c r="H574" s="302"/>
    </row>
    <row r="575" spans="4:8" ht="12.75" customHeight="1" x14ac:dyDescent="0.3">
      <c r="D575" s="305"/>
      <c r="E575" s="302"/>
      <c r="F575" s="302"/>
      <c r="G575" s="302"/>
      <c r="H575" s="302"/>
    </row>
    <row r="576" spans="4:8" ht="12.75" customHeight="1" x14ac:dyDescent="0.3">
      <c r="D576" s="305"/>
      <c r="E576" s="302"/>
      <c r="F576" s="302"/>
      <c r="G576" s="302"/>
      <c r="H576" s="302"/>
    </row>
    <row r="577" spans="4:8" ht="12.75" customHeight="1" x14ac:dyDescent="0.3">
      <c r="D577" s="305"/>
      <c r="E577" s="302"/>
      <c r="F577" s="302"/>
      <c r="G577" s="302"/>
      <c r="H577" s="302"/>
    </row>
    <row r="578" spans="4:8" ht="12.75" customHeight="1" x14ac:dyDescent="0.3">
      <c r="D578" s="305"/>
      <c r="E578" s="302"/>
      <c r="F578" s="302"/>
      <c r="G578" s="302"/>
      <c r="H578" s="302"/>
    </row>
    <row r="579" spans="4:8" ht="12.75" customHeight="1" x14ac:dyDescent="0.3">
      <c r="D579" s="305"/>
      <c r="E579" s="302"/>
      <c r="F579" s="302"/>
      <c r="G579" s="302"/>
      <c r="H579" s="302"/>
    </row>
    <row r="580" spans="4:8" ht="12.75" customHeight="1" x14ac:dyDescent="0.3">
      <c r="D580" s="305"/>
      <c r="E580" s="302"/>
      <c r="F580" s="302"/>
      <c r="G580" s="302"/>
      <c r="H580" s="302"/>
    </row>
    <row r="581" spans="4:8" ht="12.75" customHeight="1" x14ac:dyDescent="0.3">
      <c r="D581" s="305"/>
      <c r="E581" s="302"/>
      <c r="F581" s="302"/>
      <c r="G581" s="302"/>
      <c r="H581" s="302"/>
    </row>
    <row r="582" spans="4:8" ht="12.75" customHeight="1" x14ac:dyDescent="0.3">
      <c r="D582" s="305"/>
      <c r="E582" s="302"/>
      <c r="F582" s="302"/>
      <c r="G582" s="302"/>
      <c r="H582" s="302"/>
    </row>
    <row r="583" spans="4:8" ht="12.75" customHeight="1" x14ac:dyDescent="0.3">
      <c r="D583" s="305"/>
      <c r="E583" s="302"/>
      <c r="F583" s="302"/>
      <c r="G583" s="302"/>
      <c r="H583" s="302"/>
    </row>
    <row r="584" spans="4:8" ht="12.75" customHeight="1" x14ac:dyDescent="0.3">
      <c r="D584" s="305"/>
      <c r="E584" s="302"/>
      <c r="F584" s="302"/>
      <c r="G584" s="302"/>
      <c r="H584" s="302"/>
    </row>
    <row r="585" spans="4:8" ht="12.75" customHeight="1" x14ac:dyDescent="0.3">
      <c r="D585" s="305"/>
      <c r="E585" s="302"/>
      <c r="F585" s="302"/>
      <c r="G585" s="302"/>
      <c r="H585" s="302"/>
    </row>
    <row r="586" spans="4:8" ht="12.75" customHeight="1" x14ac:dyDescent="0.3">
      <c r="D586" s="305"/>
      <c r="E586" s="302"/>
      <c r="F586" s="302"/>
      <c r="G586" s="302"/>
      <c r="H586" s="302"/>
    </row>
    <row r="587" spans="4:8" ht="12.75" customHeight="1" x14ac:dyDescent="0.3">
      <c r="D587" s="305"/>
      <c r="E587" s="302"/>
      <c r="F587" s="302"/>
      <c r="G587" s="302"/>
      <c r="H587" s="302"/>
    </row>
    <row r="588" spans="4:8" ht="12.75" customHeight="1" x14ac:dyDescent="0.3">
      <c r="D588" s="305"/>
      <c r="E588" s="302"/>
      <c r="F588" s="302"/>
      <c r="G588" s="302"/>
      <c r="H588" s="302"/>
    </row>
    <row r="589" spans="4:8" ht="12.75" customHeight="1" x14ac:dyDescent="0.3">
      <c r="D589" s="305"/>
      <c r="E589" s="302"/>
      <c r="F589" s="302"/>
      <c r="G589" s="302"/>
      <c r="H589" s="302"/>
    </row>
    <row r="590" spans="4:8" ht="12.75" customHeight="1" x14ac:dyDescent="0.3">
      <c r="D590" s="305"/>
      <c r="E590" s="302"/>
      <c r="F590" s="302"/>
      <c r="G590" s="302"/>
      <c r="H590" s="302"/>
    </row>
    <row r="591" spans="4:8" ht="12.75" customHeight="1" x14ac:dyDescent="0.3">
      <c r="D591" s="305"/>
      <c r="E591" s="302"/>
      <c r="F591" s="302"/>
      <c r="G591" s="302"/>
      <c r="H591" s="302"/>
    </row>
    <row r="592" spans="4:8" ht="12.75" customHeight="1" x14ac:dyDescent="0.3">
      <c r="D592" s="305"/>
      <c r="E592" s="302"/>
      <c r="F592" s="302"/>
      <c r="G592" s="302"/>
      <c r="H592" s="302"/>
    </row>
    <row r="593" spans="4:8" ht="12.75" customHeight="1" x14ac:dyDescent="0.3">
      <c r="D593" s="305"/>
      <c r="E593" s="302"/>
      <c r="F593" s="302"/>
      <c r="G593" s="302"/>
      <c r="H593" s="302"/>
    </row>
    <row r="594" spans="4:8" ht="12.75" customHeight="1" x14ac:dyDescent="0.3">
      <c r="D594" s="305"/>
      <c r="E594" s="302"/>
      <c r="F594" s="302"/>
      <c r="G594" s="302"/>
      <c r="H594" s="302"/>
    </row>
    <row r="595" spans="4:8" ht="12.75" customHeight="1" x14ac:dyDescent="0.3">
      <c r="D595" s="305"/>
      <c r="E595" s="302"/>
      <c r="F595" s="302"/>
      <c r="G595" s="302"/>
      <c r="H595" s="302"/>
    </row>
    <row r="596" spans="4:8" ht="12.75" customHeight="1" x14ac:dyDescent="0.3">
      <c r="D596" s="305"/>
      <c r="E596" s="302"/>
      <c r="F596" s="302"/>
      <c r="G596" s="302"/>
      <c r="H596" s="302"/>
    </row>
    <row r="597" spans="4:8" ht="12.75" customHeight="1" x14ac:dyDescent="0.3">
      <c r="D597" s="305"/>
      <c r="E597" s="302"/>
      <c r="F597" s="302"/>
      <c r="G597" s="302"/>
      <c r="H597" s="302"/>
    </row>
    <row r="598" spans="4:8" ht="12.75" customHeight="1" x14ac:dyDescent="0.3">
      <c r="D598" s="305"/>
      <c r="E598" s="302"/>
      <c r="F598" s="302"/>
      <c r="G598" s="302"/>
      <c r="H598" s="302"/>
    </row>
    <row r="599" spans="4:8" ht="12.75" customHeight="1" x14ac:dyDescent="0.3">
      <c r="D599" s="305"/>
      <c r="E599" s="302"/>
      <c r="F599" s="302"/>
      <c r="G599" s="302"/>
      <c r="H599" s="302"/>
    </row>
    <row r="600" spans="4:8" ht="12.75" customHeight="1" x14ac:dyDescent="0.3">
      <c r="D600" s="305"/>
      <c r="E600" s="302"/>
      <c r="F600" s="302"/>
      <c r="G600" s="302"/>
      <c r="H600" s="302"/>
    </row>
    <row r="601" spans="4:8" ht="12.75" customHeight="1" x14ac:dyDescent="0.3">
      <c r="D601" s="305"/>
      <c r="E601" s="302"/>
      <c r="F601" s="302"/>
      <c r="G601" s="302"/>
      <c r="H601" s="302"/>
    </row>
    <row r="602" spans="4:8" ht="12.75" customHeight="1" x14ac:dyDescent="0.3">
      <c r="D602" s="305"/>
      <c r="E602" s="302"/>
      <c r="F602" s="302"/>
      <c r="G602" s="302"/>
      <c r="H602" s="302"/>
    </row>
    <row r="603" spans="4:8" ht="12.75" customHeight="1" x14ac:dyDescent="0.3">
      <c r="D603" s="305"/>
      <c r="E603" s="302"/>
      <c r="F603" s="302"/>
      <c r="G603" s="302"/>
      <c r="H603" s="302"/>
    </row>
    <row r="604" spans="4:8" ht="12.75" customHeight="1" x14ac:dyDescent="0.3">
      <c r="D604" s="305"/>
      <c r="E604" s="302"/>
      <c r="F604" s="302"/>
      <c r="G604" s="302"/>
      <c r="H604" s="302"/>
    </row>
    <row r="605" spans="4:8" ht="12.75" customHeight="1" x14ac:dyDescent="0.3">
      <c r="D605" s="305"/>
      <c r="E605" s="302"/>
      <c r="F605" s="302"/>
      <c r="G605" s="302"/>
      <c r="H605" s="302"/>
    </row>
    <row r="606" spans="4:8" ht="12.75" customHeight="1" x14ac:dyDescent="0.3">
      <c r="D606" s="305"/>
      <c r="E606" s="302"/>
      <c r="F606" s="302"/>
      <c r="G606" s="302"/>
      <c r="H606" s="302"/>
    </row>
    <row r="607" spans="4:8" ht="12.75" customHeight="1" x14ac:dyDescent="0.3">
      <c r="D607" s="305"/>
      <c r="E607" s="302"/>
      <c r="F607" s="302"/>
      <c r="G607" s="302"/>
      <c r="H607" s="302"/>
    </row>
    <row r="608" spans="4:8" ht="12.75" customHeight="1" x14ac:dyDescent="0.3">
      <c r="D608" s="305"/>
      <c r="E608" s="302"/>
      <c r="F608" s="302"/>
      <c r="G608" s="302"/>
      <c r="H608" s="302"/>
    </row>
    <row r="609" spans="4:8" ht="12.75" customHeight="1" x14ac:dyDescent="0.3">
      <c r="D609" s="305"/>
      <c r="E609" s="302"/>
      <c r="F609" s="302"/>
      <c r="G609" s="302"/>
      <c r="H609" s="302"/>
    </row>
    <row r="610" spans="4:8" ht="12.75" customHeight="1" x14ac:dyDescent="0.3">
      <c r="D610" s="305"/>
      <c r="E610" s="302"/>
      <c r="F610" s="302"/>
      <c r="G610" s="302"/>
      <c r="H610" s="302"/>
    </row>
    <row r="611" spans="4:8" ht="12.75" customHeight="1" x14ac:dyDescent="0.3">
      <c r="D611" s="305"/>
      <c r="E611" s="302"/>
      <c r="F611" s="302"/>
      <c r="G611" s="302"/>
      <c r="H611" s="302"/>
    </row>
    <row r="612" spans="4:8" ht="12.75" customHeight="1" x14ac:dyDescent="0.3">
      <c r="D612" s="305"/>
      <c r="E612" s="302"/>
      <c r="F612" s="302"/>
      <c r="G612" s="302"/>
      <c r="H612" s="302"/>
    </row>
    <row r="613" spans="4:8" ht="12.75" customHeight="1" x14ac:dyDescent="0.3">
      <c r="D613" s="305"/>
      <c r="E613" s="302"/>
      <c r="F613" s="302"/>
      <c r="G613" s="302"/>
      <c r="H613" s="302"/>
    </row>
    <row r="614" spans="4:8" ht="12.75" customHeight="1" x14ac:dyDescent="0.3">
      <c r="D614" s="305"/>
      <c r="E614" s="302"/>
      <c r="F614" s="302"/>
      <c r="G614" s="302"/>
      <c r="H614" s="302"/>
    </row>
    <row r="615" spans="4:8" ht="12.75" customHeight="1" x14ac:dyDescent="0.3">
      <c r="D615" s="305"/>
      <c r="E615" s="302"/>
      <c r="F615" s="302"/>
      <c r="G615" s="302"/>
      <c r="H615" s="302"/>
    </row>
    <row r="616" spans="4:8" ht="12.75" customHeight="1" x14ac:dyDescent="0.3">
      <c r="D616" s="305"/>
      <c r="E616" s="302"/>
      <c r="F616" s="302"/>
      <c r="G616" s="302"/>
      <c r="H616" s="302"/>
    </row>
    <row r="617" spans="4:8" ht="12.75" customHeight="1" x14ac:dyDescent="0.3">
      <c r="D617" s="305"/>
      <c r="E617" s="302"/>
      <c r="F617" s="302"/>
      <c r="G617" s="302"/>
      <c r="H617" s="302"/>
    </row>
    <row r="618" spans="4:8" ht="12.75" customHeight="1" x14ac:dyDescent="0.3">
      <c r="D618" s="305"/>
      <c r="E618" s="302"/>
      <c r="F618" s="302"/>
      <c r="G618" s="302"/>
      <c r="H618" s="302"/>
    </row>
    <row r="619" spans="4:8" ht="12.75" customHeight="1" x14ac:dyDescent="0.3">
      <c r="D619" s="305"/>
      <c r="E619" s="302"/>
      <c r="F619" s="302"/>
      <c r="G619" s="302"/>
      <c r="H619" s="302"/>
    </row>
    <row r="620" spans="4:8" ht="12.75" customHeight="1" x14ac:dyDescent="0.3">
      <c r="D620" s="305"/>
      <c r="E620" s="302"/>
      <c r="F620" s="302"/>
      <c r="G620" s="302"/>
      <c r="H620" s="302"/>
    </row>
    <row r="621" spans="4:8" ht="12.75" customHeight="1" x14ac:dyDescent="0.3">
      <c r="D621" s="305"/>
      <c r="E621" s="302"/>
      <c r="F621" s="302"/>
      <c r="G621" s="302"/>
      <c r="H621" s="302"/>
    </row>
    <row r="622" spans="4:8" ht="12.75" customHeight="1" x14ac:dyDescent="0.3">
      <c r="D622" s="305"/>
      <c r="E622" s="302"/>
      <c r="F622" s="302"/>
      <c r="G622" s="302"/>
      <c r="H622" s="302"/>
    </row>
    <row r="623" spans="4:8" ht="12.75" customHeight="1" x14ac:dyDescent="0.3">
      <c r="D623" s="305"/>
      <c r="E623" s="302"/>
      <c r="F623" s="302"/>
      <c r="G623" s="302"/>
      <c r="H623" s="302"/>
    </row>
    <row r="624" spans="4:8" ht="12.75" customHeight="1" x14ac:dyDescent="0.3">
      <c r="D624" s="305"/>
      <c r="E624" s="302"/>
      <c r="F624" s="302"/>
      <c r="G624" s="302"/>
      <c r="H624" s="302"/>
    </row>
    <row r="625" spans="4:8" ht="12.75" customHeight="1" x14ac:dyDescent="0.3">
      <c r="D625" s="305"/>
      <c r="E625" s="302"/>
      <c r="F625" s="302"/>
      <c r="G625" s="302"/>
      <c r="H625" s="302"/>
    </row>
    <row r="626" spans="4:8" ht="12.75" customHeight="1" x14ac:dyDescent="0.3">
      <c r="D626" s="305"/>
      <c r="E626" s="302"/>
      <c r="F626" s="302"/>
      <c r="G626" s="302"/>
      <c r="H626" s="302"/>
    </row>
    <row r="627" spans="4:8" ht="12.75" customHeight="1" x14ac:dyDescent="0.3">
      <c r="D627" s="305"/>
      <c r="E627" s="302"/>
      <c r="F627" s="302"/>
      <c r="G627" s="302"/>
      <c r="H627" s="302"/>
    </row>
    <row r="628" spans="4:8" ht="12.75" customHeight="1" x14ac:dyDescent="0.3">
      <c r="D628" s="305"/>
      <c r="E628" s="302"/>
      <c r="F628" s="302"/>
      <c r="G628" s="302"/>
      <c r="H628" s="302"/>
    </row>
    <row r="629" spans="4:8" ht="12.75" customHeight="1" x14ac:dyDescent="0.3">
      <c r="D629" s="305"/>
      <c r="E629" s="302"/>
      <c r="F629" s="302"/>
      <c r="G629" s="302"/>
      <c r="H629" s="302"/>
    </row>
    <row r="630" spans="4:8" ht="12.75" customHeight="1" x14ac:dyDescent="0.3">
      <c r="D630" s="305"/>
      <c r="E630" s="302"/>
      <c r="F630" s="302"/>
      <c r="G630" s="302"/>
      <c r="H630" s="302"/>
    </row>
    <row r="631" spans="4:8" ht="12.75" customHeight="1" x14ac:dyDescent="0.3">
      <c r="D631" s="305"/>
      <c r="E631" s="302"/>
      <c r="F631" s="302"/>
      <c r="G631" s="302"/>
      <c r="H631" s="302"/>
    </row>
    <row r="632" spans="4:8" ht="12.75" customHeight="1" x14ac:dyDescent="0.3">
      <c r="D632" s="305"/>
      <c r="E632" s="302"/>
      <c r="F632" s="302"/>
      <c r="G632" s="302"/>
      <c r="H632" s="302"/>
    </row>
    <row r="633" spans="4:8" ht="12.75" customHeight="1" x14ac:dyDescent="0.3">
      <c r="D633" s="305"/>
      <c r="E633" s="302"/>
      <c r="F633" s="302"/>
      <c r="G633" s="302"/>
      <c r="H633" s="302"/>
    </row>
    <row r="634" spans="4:8" ht="12.75" customHeight="1" x14ac:dyDescent="0.3">
      <c r="D634" s="305"/>
      <c r="E634" s="302"/>
      <c r="F634" s="302"/>
      <c r="G634" s="302"/>
      <c r="H634" s="302"/>
    </row>
    <row r="635" spans="4:8" ht="12.75" customHeight="1" x14ac:dyDescent="0.3">
      <c r="D635" s="305"/>
      <c r="E635" s="302"/>
      <c r="F635" s="302"/>
      <c r="G635" s="302"/>
      <c r="H635" s="302"/>
    </row>
    <row r="636" spans="4:8" ht="12.75" customHeight="1" x14ac:dyDescent="0.3">
      <c r="D636" s="305"/>
      <c r="E636" s="302"/>
      <c r="F636" s="302"/>
      <c r="G636" s="302"/>
      <c r="H636" s="302"/>
    </row>
    <row r="637" spans="4:8" ht="12.75" customHeight="1" x14ac:dyDescent="0.3">
      <c r="D637" s="305"/>
      <c r="E637" s="302"/>
      <c r="F637" s="302"/>
      <c r="G637" s="302"/>
      <c r="H637" s="302"/>
    </row>
    <row r="638" spans="4:8" ht="12.75" customHeight="1" x14ac:dyDescent="0.3">
      <c r="D638" s="305"/>
      <c r="E638" s="302"/>
      <c r="F638" s="302"/>
      <c r="G638" s="302"/>
      <c r="H638" s="302"/>
    </row>
    <row r="639" spans="4:8" ht="12.75" customHeight="1" x14ac:dyDescent="0.3">
      <c r="D639" s="305"/>
      <c r="E639" s="302"/>
      <c r="F639" s="302"/>
      <c r="G639" s="302"/>
      <c r="H639" s="302"/>
    </row>
    <row r="640" spans="4:8" ht="12.75" customHeight="1" x14ac:dyDescent="0.3">
      <c r="D640" s="305"/>
      <c r="E640" s="302"/>
      <c r="F640" s="302"/>
      <c r="G640" s="302"/>
      <c r="H640" s="302"/>
    </row>
    <row r="641" spans="4:8" ht="12.75" customHeight="1" x14ac:dyDescent="0.3">
      <c r="D641" s="305"/>
      <c r="E641" s="302"/>
      <c r="F641" s="302"/>
      <c r="G641" s="302"/>
      <c r="H641" s="302"/>
    </row>
    <row r="642" spans="4:8" ht="12.75" customHeight="1" x14ac:dyDescent="0.3">
      <c r="D642" s="305"/>
      <c r="E642" s="302"/>
      <c r="F642" s="302"/>
      <c r="G642" s="302"/>
      <c r="H642" s="302"/>
    </row>
    <row r="643" spans="4:8" ht="12.75" customHeight="1" x14ac:dyDescent="0.3">
      <c r="D643" s="305"/>
      <c r="E643" s="302"/>
      <c r="F643" s="302"/>
      <c r="G643" s="302"/>
      <c r="H643" s="302"/>
    </row>
    <row r="644" spans="4:8" ht="12.75" customHeight="1" x14ac:dyDescent="0.3">
      <c r="D644" s="305"/>
      <c r="E644" s="302"/>
      <c r="F644" s="302"/>
      <c r="G644" s="302"/>
      <c r="H644" s="302"/>
    </row>
    <row r="645" spans="4:8" ht="12.75" customHeight="1" x14ac:dyDescent="0.3">
      <c r="D645" s="305"/>
      <c r="E645" s="302"/>
      <c r="F645" s="302"/>
      <c r="G645" s="302"/>
      <c r="H645" s="302"/>
    </row>
    <row r="646" spans="4:8" ht="12.75" customHeight="1" x14ac:dyDescent="0.3">
      <c r="D646" s="305"/>
      <c r="E646" s="302"/>
      <c r="F646" s="302"/>
      <c r="G646" s="302"/>
      <c r="H646" s="302"/>
    </row>
    <row r="647" spans="4:8" ht="12.75" customHeight="1" x14ac:dyDescent="0.3">
      <c r="D647" s="305"/>
      <c r="E647" s="302"/>
      <c r="F647" s="302"/>
      <c r="G647" s="302"/>
      <c r="H647" s="302"/>
    </row>
    <row r="648" spans="4:8" ht="12.75" customHeight="1" x14ac:dyDescent="0.3">
      <c r="D648" s="305"/>
      <c r="E648" s="302"/>
      <c r="F648" s="302"/>
      <c r="G648" s="302"/>
      <c r="H648" s="302"/>
    </row>
    <row r="649" spans="4:8" ht="12.75" customHeight="1" x14ac:dyDescent="0.3">
      <c r="D649" s="305"/>
      <c r="E649" s="302"/>
      <c r="F649" s="302"/>
      <c r="G649" s="302"/>
      <c r="H649" s="302"/>
    </row>
    <row r="650" spans="4:8" ht="12.75" customHeight="1" x14ac:dyDescent="0.3">
      <c r="D650" s="305"/>
      <c r="E650" s="302"/>
      <c r="F650" s="302"/>
      <c r="G650" s="302"/>
      <c r="H650" s="302"/>
    </row>
    <row r="651" spans="4:8" ht="12.75" customHeight="1" x14ac:dyDescent="0.3">
      <c r="D651" s="305"/>
      <c r="E651" s="302"/>
      <c r="F651" s="302"/>
      <c r="G651" s="302"/>
      <c r="H651" s="302"/>
    </row>
    <row r="652" spans="4:8" ht="12.75" customHeight="1" x14ac:dyDescent="0.3">
      <c r="D652" s="305"/>
      <c r="E652" s="302"/>
      <c r="F652" s="302"/>
      <c r="G652" s="302"/>
      <c r="H652" s="302"/>
    </row>
    <row r="653" spans="4:8" ht="12.75" customHeight="1" x14ac:dyDescent="0.3">
      <c r="D653" s="305"/>
      <c r="E653" s="302"/>
      <c r="F653" s="302"/>
      <c r="G653" s="302"/>
      <c r="H653" s="302"/>
    </row>
    <row r="654" spans="4:8" ht="12.75" customHeight="1" x14ac:dyDescent="0.3">
      <c r="D654" s="305"/>
      <c r="E654" s="302"/>
      <c r="F654" s="302"/>
      <c r="G654" s="302"/>
      <c r="H654" s="302"/>
    </row>
    <row r="655" spans="4:8" ht="12.75" customHeight="1" x14ac:dyDescent="0.3">
      <c r="D655" s="305"/>
      <c r="E655" s="302"/>
      <c r="F655" s="302"/>
      <c r="G655" s="302"/>
      <c r="H655" s="302"/>
    </row>
    <row r="656" spans="4:8" ht="12.75" customHeight="1" x14ac:dyDescent="0.3">
      <c r="D656" s="305"/>
      <c r="E656" s="302"/>
      <c r="F656" s="302"/>
      <c r="G656" s="302"/>
      <c r="H656" s="302"/>
    </row>
    <row r="657" spans="4:8" ht="12.75" customHeight="1" x14ac:dyDescent="0.3">
      <c r="D657" s="305"/>
      <c r="E657" s="302"/>
      <c r="F657" s="302"/>
      <c r="G657" s="302"/>
      <c r="H657" s="302"/>
    </row>
    <row r="658" spans="4:8" ht="12.75" customHeight="1" x14ac:dyDescent="0.3">
      <c r="D658" s="305"/>
      <c r="E658" s="302"/>
      <c r="F658" s="302"/>
      <c r="G658" s="302"/>
      <c r="H658" s="302"/>
    </row>
    <row r="659" spans="4:8" ht="12.75" customHeight="1" x14ac:dyDescent="0.3">
      <c r="D659" s="305"/>
      <c r="E659" s="302"/>
      <c r="F659" s="302"/>
      <c r="G659" s="302"/>
      <c r="H659" s="302"/>
    </row>
    <row r="660" spans="4:8" ht="12.75" customHeight="1" x14ac:dyDescent="0.3">
      <c r="D660" s="305"/>
      <c r="E660" s="302"/>
      <c r="F660" s="302"/>
      <c r="G660" s="302"/>
      <c r="H660" s="302"/>
    </row>
    <row r="661" spans="4:8" ht="12.75" customHeight="1" x14ac:dyDescent="0.3">
      <c r="D661" s="305"/>
      <c r="E661" s="302"/>
      <c r="F661" s="302"/>
      <c r="G661" s="302"/>
      <c r="H661" s="302"/>
    </row>
    <row r="662" spans="4:8" ht="12.75" customHeight="1" x14ac:dyDescent="0.3">
      <c r="D662" s="305"/>
      <c r="E662" s="302"/>
      <c r="F662" s="302"/>
      <c r="G662" s="302"/>
      <c r="H662" s="302"/>
    </row>
    <row r="663" spans="4:8" ht="12.75" customHeight="1" x14ac:dyDescent="0.3">
      <c r="D663" s="305"/>
      <c r="E663" s="302"/>
      <c r="F663" s="302"/>
      <c r="G663" s="302"/>
      <c r="H663" s="302"/>
    </row>
    <row r="664" spans="4:8" ht="12.75" customHeight="1" x14ac:dyDescent="0.3">
      <c r="D664" s="305"/>
      <c r="E664" s="302"/>
      <c r="F664" s="302"/>
      <c r="G664" s="302"/>
      <c r="H664" s="302"/>
    </row>
    <row r="665" spans="4:8" ht="12.75" customHeight="1" x14ac:dyDescent="0.3">
      <c r="D665" s="305"/>
      <c r="E665" s="302"/>
      <c r="F665" s="302"/>
      <c r="G665" s="302"/>
      <c r="H665" s="302"/>
    </row>
    <row r="666" spans="4:8" ht="12.75" customHeight="1" x14ac:dyDescent="0.3">
      <c r="D666" s="305"/>
      <c r="E666" s="302"/>
      <c r="F666" s="302"/>
      <c r="G666" s="302"/>
      <c r="H666" s="302"/>
    </row>
    <row r="667" spans="4:8" ht="12.75" customHeight="1" x14ac:dyDescent="0.3">
      <c r="D667" s="305"/>
      <c r="E667" s="302"/>
      <c r="F667" s="302"/>
      <c r="G667" s="302"/>
      <c r="H667" s="302"/>
    </row>
    <row r="668" spans="4:8" ht="12.75" customHeight="1" x14ac:dyDescent="0.3">
      <c r="D668" s="305"/>
      <c r="E668" s="302"/>
      <c r="F668" s="302"/>
      <c r="G668" s="302"/>
      <c r="H668" s="302"/>
    </row>
    <row r="669" spans="4:8" ht="12.75" customHeight="1" x14ac:dyDescent="0.3">
      <c r="D669" s="305"/>
      <c r="E669" s="302"/>
      <c r="F669" s="302"/>
      <c r="G669" s="302"/>
      <c r="H669" s="302"/>
    </row>
    <row r="670" spans="4:8" ht="12.75" customHeight="1" x14ac:dyDescent="0.3">
      <c r="D670" s="305"/>
      <c r="E670" s="302"/>
      <c r="F670" s="302"/>
      <c r="G670" s="302"/>
      <c r="H670" s="302"/>
    </row>
    <row r="671" spans="4:8" ht="12.75" customHeight="1" x14ac:dyDescent="0.3">
      <c r="D671" s="305"/>
      <c r="E671" s="302"/>
      <c r="F671" s="302"/>
      <c r="G671" s="302"/>
      <c r="H671" s="302"/>
    </row>
    <row r="672" spans="4:8" ht="12.75" customHeight="1" x14ac:dyDescent="0.3">
      <c r="D672" s="305"/>
      <c r="E672" s="302"/>
      <c r="F672" s="302"/>
      <c r="G672" s="302"/>
      <c r="H672" s="302"/>
    </row>
    <row r="673" spans="4:8" ht="12.75" customHeight="1" x14ac:dyDescent="0.3">
      <c r="D673" s="305"/>
      <c r="E673" s="302"/>
      <c r="F673" s="302"/>
      <c r="G673" s="302"/>
      <c r="H673" s="302"/>
    </row>
    <row r="674" spans="4:8" ht="12.75" customHeight="1" x14ac:dyDescent="0.3">
      <c r="D674" s="305"/>
      <c r="E674" s="302"/>
      <c r="F674" s="302"/>
      <c r="G674" s="302"/>
      <c r="H674" s="302"/>
    </row>
    <row r="675" spans="4:8" ht="12.75" customHeight="1" x14ac:dyDescent="0.3">
      <c r="D675" s="305"/>
      <c r="E675" s="302"/>
      <c r="F675" s="302"/>
      <c r="G675" s="302"/>
      <c r="H675" s="302"/>
    </row>
    <row r="676" spans="4:8" ht="12.75" customHeight="1" x14ac:dyDescent="0.3">
      <c r="D676" s="305"/>
      <c r="E676" s="302"/>
      <c r="F676" s="302"/>
      <c r="G676" s="302"/>
      <c r="H676" s="302"/>
    </row>
    <row r="677" spans="4:8" ht="12.75" customHeight="1" x14ac:dyDescent="0.3">
      <c r="D677" s="305"/>
      <c r="E677" s="302"/>
      <c r="F677" s="302"/>
      <c r="G677" s="302"/>
      <c r="H677" s="302"/>
    </row>
    <row r="678" spans="4:8" ht="12.75" customHeight="1" x14ac:dyDescent="0.3">
      <c r="D678" s="305"/>
      <c r="E678" s="302"/>
      <c r="F678" s="302"/>
      <c r="G678" s="302"/>
      <c r="H678" s="302"/>
    </row>
    <row r="679" spans="4:8" ht="12.75" customHeight="1" x14ac:dyDescent="0.3">
      <c r="D679" s="305"/>
      <c r="E679" s="302"/>
      <c r="F679" s="302"/>
      <c r="G679" s="302"/>
      <c r="H679" s="302"/>
    </row>
    <row r="680" spans="4:8" ht="12.75" customHeight="1" x14ac:dyDescent="0.3">
      <c r="D680" s="305"/>
      <c r="E680" s="302"/>
      <c r="F680" s="302"/>
      <c r="G680" s="302"/>
      <c r="H680" s="302"/>
    </row>
    <row r="681" spans="4:8" ht="12.75" customHeight="1" x14ac:dyDescent="0.3">
      <c r="D681" s="305"/>
      <c r="E681" s="302"/>
      <c r="F681" s="302"/>
      <c r="G681" s="302"/>
      <c r="H681" s="302"/>
    </row>
    <row r="682" spans="4:8" ht="12.75" customHeight="1" x14ac:dyDescent="0.3">
      <c r="D682" s="305"/>
      <c r="E682" s="302"/>
      <c r="F682" s="302"/>
      <c r="G682" s="302"/>
      <c r="H682" s="302"/>
    </row>
    <row r="683" spans="4:8" ht="12.75" customHeight="1" x14ac:dyDescent="0.3">
      <c r="D683" s="305"/>
      <c r="E683" s="302"/>
      <c r="F683" s="302"/>
      <c r="G683" s="302"/>
      <c r="H683" s="302"/>
    </row>
    <row r="684" spans="4:8" ht="12.75" customHeight="1" x14ac:dyDescent="0.3">
      <c r="D684" s="305"/>
      <c r="E684" s="302"/>
      <c r="F684" s="302"/>
      <c r="G684" s="302"/>
      <c r="H684" s="302"/>
    </row>
    <row r="685" spans="4:8" ht="12.75" customHeight="1" x14ac:dyDescent="0.3">
      <c r="D685" s="305"/>
      <c r="E685" s="302"/>
      <c r="F685" s="302"/>
      <c r="G685" s="302"/>
      <c r="H685" s="302"/>
    </row>
    <row r="686" spans="4:8" ht="12.75" customHeight="1" x14ac:dyDescent="0.3">
      <c r="D686" s="305"/>
      <c r="E686" s="302"/>
      <c r="F686" s="302"/>
      <c r="G686" s="302"/>
      <c r="H686" s="302"/>
    </row>
    <row r="687" spans="4:8" ht="12.75" customHeight="1" x14ac:dyDescent="0.3">
      <c r="D687" s="305"/>
      <c r="E687" s="302"/>
      <c r="F687" s="302"/>
      <c r="G687" s="302"/>
      <c r="H687" s="302"/>
    </row>
    <row r="688" spans="4:8" ht="12.75" customHeight="1" x14ac:dyDescent="0.3">
      <c r="D688" s="305"/>
      <c r="E688" s="302"/>
      <c r="F688" s="302"/>
      <c r="G688" s="302"/>
      <c r="H688" s="302"/>
    </row>
    <row r="689" spans="4:8" ht="12.75" customHeight="1" x14ac:dyDescent="0.3">
      <c r="D689" s="305"/>
      <c r="E689" s="302"/>
      <c r="F689" s="302"/>
      <c r="G689" s="302"/>
      <c r="H689" s="302"/>
    </row>
    <row r="690" spans="4:8" ht="12.75" customHeight="1" x14ac:dyDescent="0.3">
      <c r="D690" s="305"/>
      <c r="E690" s="302"/>
      <c r="F690" s="302"/>
      <c r="G690" s="302"/>
      <c r="H690" s="302"/>
    </row>
    <row r="691" spans="4:8" ht="12.75" customHeight="1" x14ac:dyDescent="0.3">
      <c r="D691" s="305"/>
      <c r="E691" s="302"/>
      <c r="F691" s="302"/>
      <c r="G691" s="302"/>
      <c r="H691" s="302"/>
    </row>
    <row r="692" spans="4:8" ht="12.75" customHeight="1" x14ac:dyDescent="0.3">
      <c r="D692" s="305"/>
      <c r="E692" s="302"/>
      <c r="F692" s="302"/>
      <c r="G692" s="302"/>
      <c r="H692" s="302"/>
    </row>
    <row r="693" spans="4:8" ht="12.75" customHeight="1" x14ac:dyDescent="0.3">
      <c r="D693" s="305"/>
      <c r="E693" s="302"/>
      <c r="F693" s="302"/>
      <c r="G693" s="302"/>
      <c r="H693" s="302"/>
    </row>
    <row r="694" spans="4:8" ht="12.75" customHeight="1" x14ac:dyDescent="0.3">
      <c r="D694" s="305"/>
      <c r="E694" s="302"/>
      <c r="F694" s="302"/>
      <c r="G694" s="302"/>
      <c r="H694" s="302"/>
    </row>
    <row r="695" spans="4:8" ht="12.75" customHeight="1" x14ac:dyDescent="0.3">
      <c r="D695" s="305"/>
      <c r="E695" s="302"/>
      <c r="F695" s="302"/>
      <c r="G695" s="302"/>
      <c r="H695" s="302"/>
    </row>
    <row r="696" spans="4:8" ht="12.75" customHeight="1" x14ac:dyDescent="0.3">
      <c r="D696" s="305"/>
      <c r="E696" s="302"/>
      <c r="F696" s="302"/>
      <c r="G696" s="302"/>
      <c r="H696" s="302"/>
    </row>
    <row r="697" spans="4:8" ht="12.75" customHeight="1" x14ac:dyDescent="0.3">
      <c r="D697" s="305"/>
      <c r="E697" s="302"/>
      <c r="F697" s="302"/>
      <c r="G697" s="302"/>
      <c r="H697" s="302"/>
    </row>
    <row r="698" spans="4:8" ht="12.75" customHeight="1" x14ac:dyDescent="0.3">
      <c r="D698" s="305"/>
      <c r="E698" s="302"/>
      <c r="F698" s="302"/>
      <c r="G698" s="302"/>
      <c r="H698" s="302"/>
    </row>
    <row r="699" spans="4:8" ht="12.75" customHeight="1" x14ac:dyDescent="0.3">
      <c r="D699" s="305"/>
      <c r="E699" s="302"/>
      <c r="F699" s="302"/>
      <c r="G699" s="302"/>
      <c r="H699" s="302"/>
    </row>
    <row r="700" spans="4:8" ht="12.75" customHeight="1" x14ac:dyDescent="0.3">
      <c r="D700" s="305"/>
      <c r="E700" s="302"/>
      <c r="F700" s="302"/>
      <c r="G700" s="302"/>
      <c r="H700" s="302"/>
    </row>
    <row r="701" spans="4:8" ht="12.75" customHeight="1" x14ac:dyDescent="0.3">
      <c r="D701" s="305"/>
      <c r="E701" s="302"/>
      <c r="F701" s="302"/>
      <c r="G701" s="302"/>
      <c r="H701" s="302"/>
    </row>
    <row r="702" spans="4:8" ht="12.75" customHeight="1" x14ac:dyDescent="0.3">
      <c r="D702" s="305"/>
      <c r="E702" s="302"/>
      <c r="F702" s="302"/>
      <c r="G702" s="302"/>
      <c r="H702" s="302"/>
    </row>
    <row r="703" spans="4:8" ht="12.75" customHeight="1" x14ac:dyDescent="0.3">
      <c r="D703" s="305"/>
      <c r="E703" s="302"/>
      <c r="F703" s="302"/>
      <c r="G703" s="302"/>
      <c r="H703" s="302"/>
    </row>
    <row r="704" spans="4:8" ht="12.75" customHeight="1" x14ac:dyDescent="0.3">
      <c r="D704" s="305"/>
      <c r="E704" s="302"/>
      <c r="F704" s="302"/>
      <c r="G704" s="302"/>
      <c r="H704" s="302"/>
    </row>
    <row r="705" spans="4:8" ht="12.75" customHeight="1" x14ac:dyDescent="0.3">
      <c r="D705" s="305"/>
      <c r="E705" s="302"/>
      <c r="F705" s="302"/>
      <c r="G705" s="302"/>
      <c r="H705" s="302"/>
    </row>
    <row r="706" spans="4:8" ht="12.75" customHeight="1" x14ac:dyDescent="0.3">
      <c r="D706" s="305"/>
      <c r="E706" s="302"/>
      <c r="F706" s="302"/>
      <c r="G706" s="302"/>
      <c r="H706" s="302"/>
    </row>
    <row r="707" spans="4:8" ht="12.75" customHeight="1" x14ac:dyDescent="0.3">
      <c r="D707" s="305"/>
      <c r="E707" s="302"/>
      <c r="F707" s="302"/>
      <c r="G707" s="302"/>
      <c r="H707" s="302"/>
    </row>
    <row r="708" spans="4:8" ht="12.75" customHeight="1" x14ac:dyDescent="0.3">
      <c r="D708" s="305"/>
      <c r="E708" s="302"/>
      <c r="F708" s="302"/>
      <c r="G708" s="302"/>
      <c r="H708" s="302"/>
    </row>
    <row r="709" spans="4:8" ht="12.75" customHeight="1" x14ac:dyDescent="0.3">
      <c r="D709" s="305"/>
      <c r="E709" s="302"/>
      <c r="F709" s="302"/>
      <c r="G709" s="302"/>
      <c r="H709" s="302"/>
    </row>
    <row r="710" spans="4:8" ht="12.75" customHeight="1" x14ac:dyDescent="0.3">
      <c r="D710" s="305"/>
      <c r="E710" s="302"/>
      <c r="F710" s="302"/>
      <c r="G710" s="302"/>
      <c r="H710" s="302"/>
    </row>
    <row r="711" spans="4:8" ht="12.75" customHeight="1" x14ac:dyDescent="0.3">
      <c r="D711" s="305"/>
      <c r="E711" s="302"/>
      <c r="F711" s="302"/>
      <c r="G711" s="302"/>
      <c r="H711" s="302"/>
    </row>
    <row r="712" spans="4:8" ht="12.75" customHeight="1" x14ac:dyDescent="0.3">
      <c r="D712" s="305"/>
      <c r="E712" s="302"/>
      <c r="F712" s="302"/>
      <c r="G712" s="302"/>
      <c r="H712" s="302"/>
    </row>
    <row r="713" spans="4:8" ht="12.75" customHeight="1" x14ac:dyDescent="0.3">
      <c r="D713" s="305"/>
      <c r="E713" s="302"/>
      <c r="F713" s="302"/>
      <c r="G713" s="302"/>
      <c r="H713" s="302"/>
    </row>
    <row r="714" spans="4:8" ht="12.75" customHeight="1" x14ac:dyDescent="0.3">
      <c r="D714" s="305"/>
      <c r="E714" s="302"/>
      <c r="F714" s="302"/>
      <c r="G714" s="302"/>
      <c r="H714" s="302"/>
    </row>
    <row r="715" spans="4:8" ht="12.75" customHeight="1" x14ac:dyDescent="0.3">
      <c r="D715" s="305"/>
      <c r="E715" s="302"/>
      <c r="F715" s="302"/>
      <c r="G715" s="302"/>
      <c r="H715" s="302"/>
    </row>
    <row r="716" spans="4:8" ht="12.75" customHeight="1" x14ac:dyDescent="0.3">
      <c r="D716" s="305"/>
      <c r="E716" s="302"/>
      <c r="F716" s="302"/>
      <c r="G716" s="302"/>
      <c r="H716" s="302"/>
    </row>
    <row r="717" spans="4:8" ht="12.75" customHeight="1" x14ac:dyDescent="0.3">
      <c r="D717" s="305"/>
      <c r="E717" s="302"/>
      <c r="F717" s="302"/>
      <c r="G717" s="302"/>
      <c r="H717" s="302"/>
    </row>
    <row r="718" spans="4:8" ht="12.75" customHeight="1" x14ac:dyDescent="0.3">
      <c r="D718" s="305"/>
      <c r="E718" s="302"/>
      <c r="F718" s="302"/>
      <c r="G718" s="302"/>
      <c r="H718" s="302"/>
    </row>
    <row r="719" spans="4:8" ht="12.75" customHeight="1" x14ac:dyDescent="0.3">
      <c r="D719" s="305"/>
      <c r="E719" s="302"/>
      <c r="F719" s="302"/>
      <c r="G719" s="302"/>
      <c r="H719" s="302"/>
    </row>
    <row r="720" spans="4:8" ht="12.75" customHeight="1" x14ac:dyDescent="0.3">
      <c r="D720" s="305"/>
      <c r="E720" s="302"/>
      <c r="F720" s="302"/>
      <c r="G720" s="302"/>
      <c r="H720" s="302"/>
    </row>
    <row r="721" spans="4:8" ht="12.75" customHeight="1" x14ac:dyDescent="0.3">
      <c r="D721" s="305"/>
      <c r="E721" s="302"/>
      <c r="F721" s="302"/>
      <c r="G721" s="302"/>
      <c r="H721" s="302"/>
    </row>
    <row r="722" spans="4:8" ht="12.75" customHeight="1" x14ac:dyDescent="0.3">
      <c r="D722" s="305"/>
      <c r="E722" s="302"/>
      <c r="F722" s="302"/>
      <c r="G722" s="302"/>
      <c r="H722" s="302"/>
    </row>
    <row r="723" spans="4:8" ht="12.75" customHeight="1" x14ac:dyDescent="0.3">
      <c r="D723" s="305"/>
      <c r="E723" s="302"/>
      <c r="F723" s="302"/>
      <c r="G723" s="302"/>
      <c r="H723" s="302"/>
    </row>
    <row r="724" spans="4:8" ht="12.75" customHeight="1" x14ac:dyDescent="0.3">
      <c r="D724" s="305"/>
      <c r="E724" s="302"/>
      <c r="F724" s="302"/>
      <c r="G724" s="302"/>
      <c r="H724" s="302"/>
    </row>
    <row r="725" spans="4:8" ht="12.75" customHeight="1" x14ac:dyDescent="0.3">
      <c r="D725" s="305"/>
      <c r="E725" s="302"/>
      <c r="F725" s="302"/>
      <c r="G725" s="302"/>
      <c r="H725" s="302"/>
    </row>
    <row r="726" spans="4:8" ht="12.75" customHeight="1" x14ac:dyDescent="0.3">
      <c r="D726" s="305"/>
      <c r="E726" s="302"/>
      <c r="F726" s="302"/>
      <c r="G726" s="302"/>
      <c r="H726" s="302"/>
    </row>
    <row r="727" spans="4:8" ht="12.75" customHeight="1" x14ac:dyDescent="0.3">
      <c r="D727" s="305"/>
      <c r="E727" s="302"/>
      <c r="F727" s="302"/>
      <c r="G727" s="302"/>
      <c r="H727" s="302"/>
    </row>
    <row r="728" spans="4:8" ht="12.75" customHeight="1" x14ac:dyDescent="0.3">
      <c r="D728" s="305"/>
      <c r="E728" s="302"/>
      <c r="F728" s="302"/>
      <c r="G728" s="302"/>
      <c r="H728" s="302"/>
    </row>
    <row r="729" spans="4:8" ht="12.75" customHeight="1" x14ac:dyDescent="0.3">
      <c r="D729" s="305"/>
      <c r="E729" s="302"/>
      <c r="F729" s="302"/>
      <c r="G729" s="302"/>
      <c r="H729" s="302"/>
    </row>
    <row r="730" spans="4:8" ht="12.75" customHeight="1" x14ac:dyDescent="0.3">
      <c r="D730" s="305"/>
      <c r="E730" s="302"/>
      <c r="F730" s="302"/>
      <c r="G730" s="302"/>
      <c r="H730" s="302"/>
    </row>
    <row r="731" spans="4:8" ht="12.75" customHeight="1" x14ac:dyDescent="0.3">
      <c r="D731" s="305"/>
      <c r="E731" s="302"/>
      <c r="F731" s="302"/>
      <c r="G731" s="302"/>
      <c r="H731" s="302"/>
    </row>
    <row r="732" spans="4:8" ht="12.75" customHeight="1" x14ac:dyDescent="0.3">
      <c r="D732" s="305"/>
      <c r="E732" s="302"/>
      <c r="F732" s="302"/>
      <c r="G732" s="302"/>
      <c r="H732" s="302"/>
    </row>
    <row r="733" spans="4:8" ht="12.75" customHeight="1" x14ac:dyDescent="0.3">
      <c r="D733" s="305"/>
      <c r="E733" s="302"/>
      <c r="F733" s="302"/>
      <c r="G733" s="302"/>
      <c r="H733" s="302"/>
    </row>
    <row r="734" spans="4:8" ht="12.75" customHeight="1" x14ac:dyDescent="0.3">
      <c r="D734" s="305"/>
      <c r="E734" s="302"/>
      <c r="F734" s="302"/>
      <c r="G734" s="302"/>
      <c r="H734" s="302"/>
    </row>
    <row r="735" spans="4:8" ht="12.75" customHeight="1" x14ac:dyDescent="0.3">
      <c r="D735" s="305"/>
      <c r="E735" s="302"/>
      <c r="F735" s="302"/>
      <c r="G735" s="302"/>
      <c r="H735" s="302"/>
    </row>
    <row r="736" spans="4:8" ht="12.75" customHeight="1" x14ac:dyDescent="0.3">
      <c r="D736" s="305"/>
      <c r="E736" s="302"/>
      <c r="F736" s="302"/>
      <c r="G736" s="302"/>
      <c r="H736" s="302"/>
    </row>
    <row r="737" spans="4:8" ht="12.75" customHeight="1" x14ac:dyDescent="0.3">
      <c r="D737" s="305"/>
      <c r="E737" s="302"/>
      <c r="F737" s="302"/>
      <c r="G737" s="302"/>
      <c r="H737" s="302"/>
    </row>
    <row r="738" spans="4:8" ht="12.75" customHeight="1" x14ac:dyDescent="0.3">
      <c r="D738" s="305"/>
      <c r="E738" s="302"/>
      <c r="F738" s="302"/>
      <c r="G738" s="302"/>
      <c r="H738" s="302"/>
    </row>
    <row r="739" spans="4:8" ht="12.75" customHeight="1" x14ac:dyDescent="0.3">
      <c r="D739" s="305"/>
      <c r="E739" s="302"/>
      <c r="F739" s="302"/>
      <c r="G739" s="302"/>
      <c r="H739" s="302"/>
    </row>
    <row r="740" spans="4:8" ht="12.75" customHeight="1" x14ac:dyDescent="0.3">
      <c r="D740" s="305"/>
      <c r="E740" s="302"/>
      <c r="F740" s="302"/>
      <c r="G740" s="302"/>
      <c r="H740" s="302"/>
    </row>
    <row r="741" spans="4:8" ht="12.75" customHeight="1" x14ac:dyDescent="0.3">
      <c r="D741" s="305"/>
      <c r="E741" s="302"/>
      <c r="F741" s="302"/>
      <c r="G741" s="302"/>
      <c r="H741" s="302"/>
    </row>
    <row r="742" spans="4:8" ht="12.75" customHeight="1" x14ac:dyDescent="0.3">
      <c r="D742" s="305"/>
      <c r="E742" s="302"/>
      <c r="F742" s="302"/>
      <c r="G742" s="302"/>
      <c r="H742" s="302"/>
    </row>
    <row r="743" spans="4:8" ht="13.5" customHeight="1" x14ac:dyDescent="0.3">
      <c r="D743" s="305"/>
      <c r="E743" s="302"/>
      <c r="F743" s="302"/>
      <c r="G743" s="302"/>
      <c r="H743" s="302"/>
    </row>
    <row r="744" spans="4:8" ht="12.75" customHeight="1" x14ac:dyDescent="0.3">
      <c r="D744" s="305"/>
      <c r="E744" s="302"/>
      <c r="F744" s="302"/>
      <c r="G744" s="302"/>
      <c r="H744" s="302"/>
    </row>
    <row r="745" spans="4:8" ht="12.75" customHeight="1" x14ac:dyDescent="0.3">
      <c r="D745" s="305"/>
      <c r="E745" s="302"/>
      <c r="F745" s="302"/>
      <c r="G745" s="302"/>
      <c r="H745" s="302"/>
    </row>
    <row r="746" spans="4:8" ht="12.75" customHeight="1" x14ac:dyDescent="0.3">
      <c r="D746" s="305"/>
      <c r="E746" s="302"/>
      <c r="F746" s="302"/>
      <c r="G746" s="302"/>
      <c r="H746" s="302"/>
    </row>
    <row r="747" spans="4:8" ht="12.75" customHeight="1" x14ac:dyDescent="0.3">
      <c r="D747" s="305"/>
      <c r="E747" s="302"/>
      <c r="F747" s="302"/>
      <c r="G747" s="302"/>
      <c r="H747" s="302"/>
    </row>
    <row r="748" spans="4:8" ht="12.75" customHeight="1" x14ac:dyDescent="0.3">
      <c r="D748" s="305"/>
      <c r="E748" s="302"/>
      <c r="F748" s="302"/>
      <c r="G748" s="302"/>
      <c r="H748" s="302"/>
    </row>
    <row r="749" spans="4:8" ht="12.75" customHeight="1" x14ac:dyDescent="0.3">
      <c r="D749" s="305"/>
      <c r="E749" s="302"/>
      <c r="F749" s="302"/>
      <c r="G749" s="302"/>
      <c r="H749" s="302"/>
    </row>
    <row r="750" spans="4:8" ht="12.75" customHeight="1" x14ac:dyDescent="0.3">
      <c r="D750" s="305"/>
      <c r="E750" s="302"/>
      <c r="F750" s="302"/>
      <c r="G750" s="302"/>
      <c r="H750" s="302"/>
    </row>
    <row r="751" spans="4:8" ht="12.75" customHeight="1" x14ac:dyDescent="0.3">
      <c r="D751" s="305"/>
      <c r="E751" s="302"/>
      <c r="F751" s="302"/>
      <c r="G751" s="302"/>
      <c r="H751" s="302"/>
    </row>
    <row r="752" spans="4:8" ht="12.75" customHeight="1" x14ac:dyDescent="0.3">
      <c r="D752" s="305"/>
      <c r="E752" s="302"/>
      <c r="F752" s="302"/>
      <c r="G752" s="302"/>
      <c r="H752" s="302"/>
    </row>
    <row r="753" spans="4:8" ht="12.75" customHeight="1" x14ac:dyDescent="0.3">
      <c r="D753" s="305"/>
      <c r="E753" s="302"/>
      <c r="F753" s="302"/>
      <c r="G753" s="302"/>
      <c r="H753" s="302"/>
    </row>
    <row r="754" spans="4:8" ht="12.75" customHeight="1" x14ac:dyDescent="0.3">
      <c r="D754" s="305"/>
      <c r="E754" s="302"/>
      <c r="F754" s="302"/>
      <c r="G754" s="302"/>
      <c r="H754" s="302"/>
    </row>
    <row r="755" spans="4:8" ht="12.75" customHeight="1" x14ac:dyDescent="0.3">
      <c r="D755" s="305"/>
      <c r="E755" s="302"/>
      <c r="F755" s="302"/>
      <c r="G755" s="302"/>
      <c r="H755" s="302"/>
    </row>
    <row r="756" spans="4:8" ht="12.75" customHeight="1" x14ac:dyDescent="0.3">
      <c r="D756" s="305"/>
      <c r="E756" s="302"/>
      <c r="F756" s="302"/>
      <c r="G756" s="302"/>
      <c r="H756" s="302"/>
    </row>
    <row r="757" spans="4:8" ht="12.75" customHeight="1" x14ac:dyDescent="0.3">
      <c r="D757" s="305"/>
      <c r="E757" s="302"/>
      <c r="F757" s="302"/>
      <c r="G757" s="302"/>
      <c r="H757" s="302"/>
    </row>
    <row r="758" spans="4:8" ht="12.75" customHeight="1" x14ac:dyDescent="0.3">
      <c r="D758" s="305"/>
      <c r="E758" s="302"/>
      <c r="F758" s="302"/>
      <c r="G758" s="302"/>
      <c r="H758" s="302"/>
    </row>
    <row r="759" spans="4:8" ht="12.75" customHeight="1" x14ac:dyDescent="0.3">
      <c r="D759" s="305"/>
      <c r="E759" s="302"/>
      <c r="F759" s="302"/>
      <c r="G759" s="302"/>
      <c r="H759" s="302"/>
    </row>
    <row r="760" spans="4:8" ht="12.75" customHeight="1" x14ac:dyDescent="0.3">
      <c r="D760" s="305"/>
      <c r="E760" s="302"/>
      <c r="F760" s="302"/>
      <c r="G760" s="302"/>
      <c r="H760" s="302"/>
    </row>
    <row r="761" spans="4:8" ht="12.75" customHeight="1" x14ac:dyDescent="0.3">
      <c r="D761" s="305"/>
      <c r="E761" s="302"/>
      <c r="F761" s="302"/>
      <c r="G761" s="302"/>
      <c r="H761" s="302"/>
    </row>
    <row r="762" spans="4:8" ht="12.75" customHeight="1" x14ac:dyDescent="0.3">
      <c r="D762" s="305"/>
      <c r="E762" s="302"/>
      <c r="F762" s="302"/>
      <c r="G762" s="302"/>
      <c r="H762" s="302"/>
    </row>
    <row r="763" spans="4:8" ht="12.75" customHeight="1" x14ac:dyDescent="0.3">
      <c r="D763" s="305"/>
      <c r="E763" s="302"/>
      <c r="F763" s="302"/>
      <c r="G763" s="302"/>
      <c r="H763" s="302"/>
    </row>
    <row r="764" spans="4:8" ht="12.75" customHeight="1" x14ac:dyDescent="0.3">
      <c r="D764" s="305"/>
      <c r="E764" s="302"/>
      <c r="F764" s="302"/>
      <c r="G764" s="302"/>
      <c r="H764" s="302"/>
    </row>
    <row r="765" spans="4:8" ht="12.75" customHeight="1" x14ac:dyDescent="0.3">
      <c r="D765" s="305"/>
      <c r="E765" s="302"/>
      <c r="F765" s="302"/>
      <c r="G765" s="302"/>
      <c r="H765" s="302"/>
    </row>
    <row r="766" spans="4:8" ht="12.75" customHeight="1" x14ac:dyDescent="0.3">
      <c r="D766" s="305"/>
      <c r="E766" s="302"/>
      <c r="F766" s="302"/>
      <c r="G766" s="302"/>
      <c r="H766" s="302"/>
    </row>
    <row r="767" spans="4:8" ht="12.75" customHeight="1" x14ac:dyDescent="0.3">
      <c r="D767" s="305"/>
      <c r="E767" s="302"/>
      <c r="F767" s="302"/>
      <c r="G767" s="302"/>
      <c r="H767" s="302"/>
    </row>
    <row r="768" spans="4:8" ht="12.75" customHeight="1" x14ac:dyDescent="0.3">
      <c r="D768" s="305"/>
      <c r="E768" s="302"/>
      <c r="F768" s="302"/>
      <c r="G768" s="302"/>
      <c r="H768" s="302"/>
    </row>
    <row r="769" spans="4:30" ht="12.75" customHeight="1" x14ac:dyDescent="0.3">
      <c r="D769" s="305"/>
      <c r="E769" s="302"/>
      <c r="F769" s="302"/>
      <c r="G769" s="302"/>
      <c r="H769" s="302"/>
    </row>
    <row r="770" spans="4:30" ht="12.75" customHeight="1" x14ac:dyDescent="0.3">
      <c r="D770" s="305"/>
      <c r="E770" s="302"/>
      <c r="F770" s="302"/>
      <c r="G770" s="302"/>
      <c r="H770" s="302"/>
      <c r="AD770" s="91">
        <v>1</v>
      </c>
    </row>
    <row r="771" spans="4:30" ht="12.75" customHeight="1" x14ac:dyDescent="0.3">
      <c r="D771" s="305"/>
      <c r="E771" s="302"/>
      <c r="F771" s="302"/>
      <c r="G771" s="302"/>
      <c r="H771" s="302"/>
    </row>
    <row r="772" spans="4:30" ht="12.75" customHeight="1" x14ac:dyDescent="0.3">
      <c r="D772" s="305"/>
      <c r="E772" s="302"/>
      <c r="F772" s="302"/>
      <c r="G772" s="302"/>
      <c r="H772" s="302"/>
    </row>
    <row r="773" spans="4:30" ht="12.75" customHeight="1" x14ac:dyDescent="0.3">
      <c r="D773" s="305"/>
      <c r="E773" s="302"/>
      <c r="F773" s="302"/>
      <c r="G773" s="302"/>
      <c r="H773" s="302"/>
    </row>
    <row r="774" spans="4:30" ht="12.75" customHeight="1" x14ac:dyDescent="0.3">
      <c r="D774" s="305"/>
      <c r="E774" s="302"/>
      <c r="F774" s="302"/>
      <c r="G774" s="302"/>
      <c r="H774" s="302"/>
    </row>
    <row r="775" spans="4:30" ht="12.75" customHeight="1" x14ac:dyDescent="0.3">
      <c r="D775" s="305"/>
      <c r="E775" s="302"/>
      <c r="F775" s="302"/>
      <c r="G775" s="302"/>
      <c r="H775" s="302"/>
    </row>
    <row r="776" spans="4:30" ht="12.75" customHeight="1" x14ac:dyDescent="0.3">
      <c r="D776" s="305"/>
      <c r="E776" s="302"/>
      <c r="F776" s="302"/>
      <c r="G776" s="302"/>
      <c r="H776" s="302"/>
    </row>
    <row r="777" spans="4:30" ht="12.75" customHeight="1" x14ac:dyDescent="0.3">
      <c r="D777" s="305"/>
      <c r="E777" s="302"/>
      <c r="F777" s="302"/>
      <c r="G777" s="302"/>
      <c r="H777" s="302"/>
    </row>
    <row r="778" spans="4:30" ht="12.75" customHeight="1" x14ac:dyDescent="0.3">
      <c r="D778" s="305"/>
      <c r="E778" s="302"/>
      <c r="F778" s="302"/>
      <c r="G778" s="302"/>
      <c r="H778" s="302"/>
    </row>
    <row r="779" spans="4:30" ht="12.75" customHeight="1" x14ac:dyDescent="0.3">
      <c r="D779" s="305"/>
      <c r="E779" s="302"/>
      <c r="F779" s="302"/>
      <c r="G779" s="302"/>
      <c r="H779" s="302"/>
    </row>
    <row r="780" spans="4:30" ht="12.75" customHeight="1" x14ac:dyDescent="0.3">
      <c r="D780" s="305"/>
      <c r="E780" s="302"/>
      <c r="F780" s="302"/>
      <c r="G780" s="302"/>
      <c r="H780" s="302"/>
    </row>
    <row r="781" spans="4:30" ht="12.75" customHeight="1" x14ac:dyDescent="0.3">
      <c r="D781" s="305"/>
      <c r="F781" s="302"/>
      <c r="G781" s="302"/>
      <c r="H781" s="302"/>
    </row>
    <row r="782" spans="4:30" ht="12.75" customHeight="1" x14ac:dyDescent="0.3">
      <c r="D782" s="305"/>
      <c r="F782" s="302"/>
      <c r="G782" s="302"/>
      <c r="H782" s="302"/>
    </row>
    <row r="783" spans="4:30" ht="12.75" customHeight="1" x14ac:dyDescent="0.3"/>
    <row r="784" spans="4:30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</sheetData>
  <mergeCells count="278"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F20:I20"/>
    <mergeCell ref="K20:L20"/>
    <mergeCell ref="N20:O20"/>
    <mergeCell ref="P20:Q20"/>
    <mergeCell ref="T20:U20"/>
    <mergeCell ref="Y20:Z20"/>
    <mergeCell ref="T18:U18"/>
    <mergeCell ref="Y18:Z18"/>
    <mergeCell ref="F19:I19"/>
    <mergeCell ref="K19:L19"/>
    <mergeCell ref="N19:O19"/>
    <mergeCell ref="P19:Q19"/>
    <mergeCell ref="T19:U19"/>
    <mergeCell ref="Y19:Z19"/>
    <mergeCell ref="K21:L21"/>
    <mergeCell ref="N21:O21"/>
    <mergeCell ref="P21:Q21"/>
    <mergeCell ref="T21:U21"/>
    <mergeCell ref="F22:I22"/>
    <mergeCell ref="K22:L22"/>
    <mergeCell ref="N22:O22"/>
    <mergeCell ref="P22:Q22"/>
    <mergeCell ref="T22:U22"/>
    <mergeCell ref="B25:C25"/>
    <mergeCell ref="H25:I25"/>
    <mergeCell ref="K25:L25"/>
    <mergeCell ref="N25:O25"/>
    <mergeCell ref="P25:Q25"/>
    <mergeCell ref="T25:U25"/>
    <mergeCell ref="K23:L23"/>
    <mergeCell ref="N23:O23"/>
    <mergeCell ref="P23:Q23"/>
    <mergeCell ref="T23:U23"/>
    <mergeCell ref="F24:I24"/>
    <mergeCell ref="K24:L24"/>
    <mergeCell ref="N24:O24"/>
    <mergeCell ref="P24:Q24"/>
    <mergeCell ref="T24:U24"/>
    <mergeCell ref="B29:C29"/>
    <mergeCell ref="F29:I29"/>
    <mergeCell ref="K29:L29"/>
    <mergeCell ref="N29:O29"/>
    <mergeCell ref="P29:Q29"/>
    <mergeCell ref="T29:U29"/>
    <mergeCell ref="K26:L26"/>
    <mergeCell ref="N26:O26"/>
    <mergeCell ref="P26:Q26"/>
    <mergeCell ref="T26:U26"/>
    <mergeCell ref="F27:I27"/>
    <mergeCell ref="K27:L27"/>
    <mergeCell ref="N27:O27"/>
    <mergeCell ref="P27:Q27"/>
    <mergeCell ref="T27:U27"/>
    <mergeCell ref="F31:I31"/>
    <mergeCell ref="K31:L31"/>
    <mergeCell ref="N31:O31"/>
    <mergeCell ref="P31:Q31"/>
    <mergeCell ref="T31:U31"/>
    <mergeCell ref="K28:L28"/>
    <mergeCell ref="N28:O28"/>
    <mergeCell ref="P28:Q28"/>
    <mergeCell ref="T28:U28"/>
    <mergeCell ref="K32:L32"/>
    <mergeCell ref="N32:O32"/>
    <mergeCell ref="P32:Q32"/>
    <mergeCell ref="T32:U32"/>
    <mergeCell ref="K33:L33"/>
    <mergeCell ref="N33:O33"/>
    <mergeCell ref="P33:Q33"/>
    <mergeCell ref="T33:U33"/>
    <mergeCell ref="K30:L30"/>
    <mergeCell ref="N30:O30"/>
    <mergeCell ref="P30:Q30"/>
    <mergeCell ref="T30:U30"/>
    <mergeCell ref="K34:L34"/>
    <mergeCell ref="N34:O34"/>
    <mergeCell ref="P34:Q34"/>
    <mergeCell ref="T34:U34"/>
    <mergeCell ref="F35:I35"/>
    <mergeCell ref="K35:L35"/>
    <mergeCell ref="N35:O35"/>
    <mergeCell ref="P35:Q35"/>
    <mergeCell ref="T35:U35"/>
    <mergeCell ref="F36:I36"/>
    <mergeCell ref="K36:L36"/>
    <mergeCell ref="N36:O36"/>
    <mergeCell ref="P36:Q36"/>
    <mergeCell ref="T36:U36"/>
    <mergeCell ref="F37:I37"/>
    <mergeCell ref="K37:L37"/>
    <mergeCell ref="N37:O37"/>
    <mergeCell ref="P37:Q37"/>
    <mergeCell ref="T37:U37"/>
    <mergeCell ref="K40:L40"/>
    <mergeCell ref="N40:O40"/>
    <mergeCell ref="P40:Q40"/>
    <mergeCell ref="T40:U40"/>
    <mergeCell ref="K41:L41"/>
    <mergeCell ref="N41:O41"/>
    <mergeCell ref="P41:Q41"/>
    <mergeCell ref="T41:U41"/>
    <mergeCell ref="F38:I38"/>
    <mergeCell ref="K38:L38"/>
    <mergeCell ref="N38:O38"/>
    <mergeCell ref="P38:Q38"/>
    <mergeCell ref="T38:U38"/>
    <mergeCell ref="F39:G39"/>
    <mergeCell ref="K39:L39"/>
    <mergeCell ref="N39:O39"/>
    <mergeCell ref="P39:Q39"/>
    <mergeCell ref="T39:U39"/>
    <mergeCell ref="K44:L44"/>
    <mergeCell ref="N44:O44"/>
    <mergeCell ref="P44:Q44"/>
    <mergeCell ref="T44:U44"/>
    <mergeCell ref="K45:L45"/>
    <mergeCell ref="N45:O45"/>
    <mergeCell ref="P45:Q45"/>
    <mergeCell ref="T45:U45"/>
    <mergeCell ref="K42:L42"/>
    <mergeCell ref="N42:O42"/>
    <mergeCell ref="P42:Q42"/>
    <mergeCell ref="T42:U42"/>
    <mergeCell ref="K43:L43"/>
    <mergeCell ref="N43:O43"/>
    <mergeCell ref="P43:Q43"/>
    <mergeCell ref="T43:U43"/>
    <mergeCell ref="T46:U46"/>
    <mergeCell ref="B47:C48"/>
    <mergeCell ref="D47:F48"/>
    <mergeCell ref="G47:I48"/>
    <mergeCell ref="K47:L47"/>
    <mergeCell ref="N47:O47"/>
    <mergeCell ref="P47:Q47"/>
    <mergeCell ref="T47:U47"/>
    <mergeCell ref="K48:L48"/>
    <mergeCell ref="N48:O48"/>
    <mergeCell ref="B46:C46"/>
    <mergeCell ref="D46:F46"/>
    <mergeCell ref="G46:I46"/>
    <mergeCell ref="K46:L46"/>
    <mergeCell ref="N46:O46"/>
    <mergeCell ref="P46:Q46"/>
    <mergeCell ref="P48:Q48"/>
    <mergeCell ref="T48:U48"/>
    <mergeCell ref="B49:C50"/>
    <mergeCell ref="D49:F50"/>
    <mergeCell ref="G49:I50"/>
    <mergeCell ref="K49:L49"/>
    <mergeCell ref="N49:O49"/>
    <mergeCell ref="P49:Q49"/>
    <mergeCell ref="T49:U49"/>
    <mergeCell ref="K50:L50"/>
    <mergeCell ref="N50:O50"/>
    <mergeCell ref="P50:Q50"/>
    <mergeCell ref="T50:U50"/>
    <mergeCell ref="B51:C52"/>
    <mergeCell ref="D51:F52"/>
    <mergeCell ref="G51:I52"/>
    <mergeCell ref="K51:L51"/>
    <mergeCell ref="N51:O51"/>
    <mergeCell ref="P51:Q51"/>
    <mergeCell ref="T51:U51"/>
    <mergeCell ref="K52:L52"/>
    <mergeCell ref="N52:O52"/>
    <mergeCell ref="P52:Q52"/>
    <mergeCell ref="T52:U52"/>
    <mergeCell ref="B53:C54"/>
    <mergeCell ref="D53:F54"/>
    <mergeCell ref="G53:I54"/>
    <mergeCell ref="K53:L53"/>
    <mergeCell ref="N53:O53"/>
    <mergeCell ref="P53:Q53"/>
    <mergeCell ref="T53:U53"/>
    <mergeCell ref="K54:L54"/>
    <mergeCell ref="N54:O54"/>
    <mergeCell ref="P54:Q54"/>
    <mergeCell ref="T54:U54"/>
    <mergeCell ref="B55:C56"/>
    <mergeCell ref="D55:F56"/>
    <mergeCell ref="G55:I56"/>
    <mergeCell ref="K55:L55"/>
    <mergeCell ref="N55:O55"/>
    <mergeCell ref="B57:C58"/>
    <mergeCell ref="D57:F58"/>
    <mergeCell ref="G57:I58"/>
    <mergeCell ref="K57:L57"/>
    <mergeCell ref="N57:O57"/>
    <mergeCell ref="P57:Q57"/>
    <mergeCell ref="P55:Q55"/>
    <mergeCell ref="T55:U55"/>
    <mergeCell ref="K56:L56"/>
    <mergeCell ref="N56:O56"/>
    <mergeCell ref="P56:Q56"/>
    <mergeCell ref="T56:U56"/>
    <mergeCell ref="T57:U57"/>
    <mergeCell ref="K58:L58"/>
    <mergeCell ref="N58:O58"/>
    <mergeCell ref="P58:Q58"/>
    <mergeCell ref="T58:U58"/>
    <mergeCell ref="K59:L59"/>
    <mergeCell ref="N59:O59"/>
    <mergeCell ref="P59:Q59"/>
    <mergeCell ref="T59:U59"/>
    <mergeCell ref="D60:F60"/>
    <mergeCell ref="K60:L60"/>
    <mergeCell ref="N60:O60"/>
    <mergeCell ref="P60:Q60"/>
    <mergeCell ref="T60:U60"/>
    <mergeCell ref="K61:L61"/>
    <mergeCell ref="N61:O61"/>
    <mergeCell ref="P61:Q61"/>
    <mergeCell ref="T61:U61"/>
    <mergeCell ref="B70:D70"/>
    <mergeCell ref="K70:M70"/>
    <mergeCell ref="O70:Q70"/>
    <mergeCell ref="K62:L62"/>
    <mergeCell ref="N62:O62"/>
    <mergeCell ref="T62:U62"/>
    <mergeCell ref="K63:L63"/>
    <mergeCell ref="N63:O63"/>
    <mergeCell ref="T63:U63"/>
    <mergeCell ref="L71:M71"/>
    <mergeCell ref="O71:Q71"/>
    <mergeCell ref="K257:M257"/>
    <mergeCell ref="P257:Q257"/>
    <mergeCell ref="L258:M258"/>
    <mergeCell ref="K64:L64"/>
    <mergeCell ref="N64:O64"/>
    <mergeCell ref="P64:Q64"/>
    <mergeCell ref="K65:L65"/>
    <mergeCell ref="N65:O65"/>
  </mergeCells>
  <pageMargins left="0.7" right="0.7" top="0.75" bottom="0.75" header="0.3" footer="0.3"/>
  <pageSetup scale="73" orientation="portrait" horizontalDpi="0" verticalDpi="0" r:id="rId1"/>
  <colBreaks count="1" manualBreakCount="1">
    <brk id="9" max="7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AF05E-019A-4A6C-93D0-FEDBD51CE859}">
  <dimension ref="A1:BA858"/>
  <sheetViews>
    <sheetView view="pageBreakPreview" topLeftCell="A28" zoomScale="60" zoomScaleNormal="90" workbookViewId="0">
      <selection activeCell="Q74" sqref="A1:Q74"/>
    </sheetView>
  </sheetViews>
  <sheetFormatPr defaultColWidth="8.85546875" defaultRowHeight="16.5" x14ac:dyDescent="0.3"/>
  <cols>
    <col min="1" max="1" width="1" style="91" customWidth="1"/>
    <col min="2" max="2" width="12.5703125" style="91" customWidth="1"/>
    <col min="3" max="3" width="18.7109375" style="91" customWidth="1"/>
    <col min="4" max="4" width="17.85546875" style="91" customWidth="1"/>
    <col min="5" max="5" width="23.42578125" style="91" customWidth="1"/>
    <col min="6" max="6" width="15.140625" style="91" customWidth="1"/>
    <col min="7" max="7" width="8.140625" style="91" customWidth="1"/>
    <col min="8" max="8" width="4.42578125" style="91" customWidth="1"/>
    <col min="9" max="9" width="17.7109375" style="91" customWidth="1"/>
    <col min="10" max="10" width="2.28515625" style="91" customWidth="1"/>
    <col min="11" max="11" width="9.140625" style="91" customWidth="1"/>
    <col min="12" max="12" width="20.28515625" style="93" customWidth="1"/>
    <col min="13" max="13" width="18.28515625" style="91" customWidth="1"/>
    <col min="14" max="14" width="21.7109375" style="91" customWidth="1"/>
    <col min="15" max="15" width="12.28515625" style="91" customWidth="1"/>
    <col min="16" max="16" width="16.85546875" style="91" customWidth="1"/>
    <col min="17" max="17" width="21.42578125" style="91" customWidth="1"/>
    <col min="18" max="18" width="4.7109375" style="91" customWidth="1"/>
    <col min="19" max="19" width="8.85546875" style="91"/>
    <col min="20" max="20" width="19" style="91" hidden="1" customWidth="1"/>
    <col min="21" max="22" width="8.85546875" style="91" hidden="1" customWidth="1"/>
    <col min="23" max="24" width="11.42578125" style="91" hidden="1" customWidth="1"/>
    <col min="25" max="26" width="0" style="91" hidden="1" customWidth="1"/>
    <col min="27" max="27" width="11.28515625" style="91" hidden="1" customWidth="1"/>
    <col min="28" max="28" width="8.85546875" style="91"/>
    <col min="29" max="29" width="13.140625" style="91" customWidth="1"/>
    <col min="30" max="30" width="14.5703125" style="91" customWidth="1"/>
    <col min="31" max="31" width="8.85546875" style="91"/>
    <col min="32" max="32" width="9.140625" style="91" bestFit="1" customWidth="1"/>
    <col min="33" max="33" width="17.140625" style="91" customWidth="1"/>
    <col min="34" max="34" width="17.85546875" style="91" customWidth="1"/>
    <col min="35" max="35" width="9.7109375" style="91" customWidth="1"/>
    <col min="36" max="36" width="10.7109375" style="234" customWidth="1"/>
    <col min="37" max="37" width="13.42578125" style="91" customWidth="1"/>
    <col min="38" max="38" width="12.7109375" style="91" customWidth="1"/>
    <col min="39" max="39" width="13.140625" style="91" customWidth="1"/>
    <col min="40" max="41" width="13.28515625" style="91" customWidth="1"/>
    <col min="42" max="42" width="11.28515625" style="91" customWidth="1"/>
    <col min="43" max="43" width="14.85546875" style="91" customWidth="1"/>
    <col min="44" max="44" width="5.85546875" style="91" customWidth="1"/>
    <col min="45" max="45" width="11.7109375" style="91" customWidth="1"/>
    <col min="46" max="46" width="12.7109375" style="91" customWidth="1"/>
    <col min="47" max="47" width="11.7109375" style="91" customWidth="1"/>
    <col min="48" max="48" width="12.7109375" style="91" customWidth="1"/>
    <col min="49" max="49" width="12.7109375" style="235" customWidth="1"/>
    <col min="50" max="50" width="14.5703125" style="236" customWidth="1"/>
    <col min="51" max="55" width="12.7109375" style="91" customWidth="1"/>
    <col min="56" max="16384" width="8.85546875" style="91"/>
  </cols>
  <sheetData>
    <row r="1" spans="1:17" ht="4.5" customHeight="1" x14ac:dyDescent="0.3">
      <c r="B1" s="227"/>
      <c r="C1" s="228">
        <f>(F15-(F16+F25))*12%</f>
        <v>1139572.0320000001</v>
      </c>
      <c r="D1" s="229">
        <f>[3]FORM!A14</f>
        <v>107</v>
      </c>
      <c r="E1" s="230"/>
      <c r="F1" s="102"/>
      <c r="G1" s="231"/>
      <c r="H1" s="231"/>
      <c r="J1" s="232">
        <v>0.01</v>
      </c>
      <c r="K1" s="230"/>
      <c r="L1" s="233"/>
      <c r="M1" s="233"/>
      <c r="N1" s="171"/>
    </row>
    <row r="2" spans="1:17" x14ac:dyDescent="0.3">
      <c r="B2" s="237" t="s">
        <v>94</v>
      </c>
      <c r="C2" s="104">
        <f ca="1">NOW()</f>
        <v>45932.593793518521</v>
      </c>
      <c r="D2" s="169"/>
      <c r="F2" s="98" t="s">
        <v>95</v>
      </c>
      <c r="G2" s="357" t="s">
        <v>96</v>
      </c>
      <c r="H2" s="357"/>
      <c r="I2" s="357"/>
      <c r="J2" s="85"/>
      <c r="K2" s="238" t="s">
        <v>94</v>
      </c>
      <c r="L2" s="104">
        <f ca="1">C2</f>
        <v>45932.593793518521</v>
      </c>
      <c r="M2" s="76"/>
      <c r="O2" s="82"/>
      <c r="P2" s="237" t="s">
        <v>97</v>
      </c>
      <c r="Q2" s="239" t="s">
        <v>98</v>
      </c>
    </row>
    <row r="3" spans="1:17" x14ac:dyDescent="0.3">
      <c r="C3" s="102"/>
      <c r="D3" s="102"/>
      <c r="E3" s="85"/>
      <c r="F3" s="85"/>
      <c r="G3" s="85"/>
      <c r="H3" s="85"/>
      <c r="I3" s="85"/>
      <c r="J3" s="85"/>
      <c r="K3" s="240"/>
      <c r="L3" s="241"/>
      <c r="M3" s="242"/>
      <c r="N3" s="139"/>
      <c r="O3" s="139"/>
      <c r="P3" s="139"/>
      <c r="Q3" s="139"/>
    </row>
    <row r="4" spans="1:17" ht="18.75" customHeight="1" x14ac:dyDescent="0.3">
      <c r="A4" s="76"/>
      <c r="B4" s="358" t="s">
        <v>99</v>
      </c>
      <c r="C4" s="358"/>
      <c r="D4" s="358"/>
      <c r="E4" s="358"/>
      <c r="F4" s="358"/>
      <c r="G4" s="358"/>
      <c r="H4" s="358"/>
      <c r="I4" s="359"/>
      <c r="J4" s="85"/>
      <c r="K4" s="360" t="s">
        <v>100</v>
      </c>
      <c r="L4" s="360"/>
      <c r="M4" s="360"/>
      <c r="N4" s="360"/>
      <c r="O4" s="360"/>
      <c r="P4" s="360"/>
      <c r="Q4" s="360"/>
    </row>
    <row r="5" spans="1:17" ht="12" customHeight="1" x14ac:dyDescent="0.3">
      <c r="A5" s="76"/>
      <c r="B5" s="76"/>
      <c r="C5" s="79"/>
      <c r="D5" s="79"/>
      <c r="E5" s="76"/>
      <c r="F5" s="79"/>
      <c r="G5" s="79"/>
      <c r="H5" s="79"/>
      <c r="I5" s="243"/>
      <c r="J5" s="85"/>
      <c r="K5" s="85"/>
      <c r="L5" s="85"/>
      <c r="M5" s="244"/>
      <c r="N5" s="76"/>
      <c r="O5" s="76"/>
      <c r="P5" s="76"/>
      <c r="Q5" s="76"/>
    </row>
    <row r="6" spans="1:17" x14ac:dyDescent="0.3">
      <c r="A6" s="76"/>
      <c r="B6" s="119" t="s">
        <v>101</v>
      </c>
      <c r="C6" s="71"/>
      <c r="D6" s="88" t="s">
        <v>102</v>
      </c>
      <c r="E6" s="361"/>
      <c r="F6" s="362"/>
      <c r="G6" s="362"/>
      <c r="H6" s="362"/>
      <c r="I6" s="363"/>
      <c r="J6" s="85"/>
      <c r="K6" s="364" t="s">
        <v>101</v>
      </c>
      <c r="L6" s="364"/>
      <c r="M6" s="88" t="s">
        <v>102</v>
      </c>
      <c r="N6" s="365">
        <f t="shared" ref="N6:N12" si="0">E6</f>
        <v>0</v>
      </c>
      <c r="O6" s="365"/>
      <c r="P6" s="365"/>
      <c r="Q6" s="365"/>
    </row>
    <row r="7" spans="1:17" ht="17.25" thickBot="1" x14ac:dyDescent="0.35">
      <c r="A7" s="76"/>
      <c r="B7" s="126" t="s">
        <v>103</v>
      </c>
      <c r="C7" s="125"/>
      <c r="D7" s="88" t="s">
        <v>102</v>
      </c>
      <c r="E7" s="361" t="str">
        <f>Pricelink!E18</f>
        <v>Terraces Commonwealth Townhouse</v>
      </c>
      <c r="F7" s="362"/>
      <c r="G7" s="362"/>
      <c r="H7" s="362"/>
      <c r="I7" s="363"/>
      <c r="J7" s="85"/>
      <c r="K7" s="364" t="s">
        <v>103</v>
      </c>
      <c r="L7" s="364"/>
      <c r="M7" s="245" t="s">
        <v>102</v>
      </c>
      <c r="N7" s="365" t="str">
        <f t="shared" si="0"/>
        <v>Terraces Commonwealth Townhouse</v>
      </c>
      <c r="O7" s="365"/>
      <c r="P7" s="365"/>
      <c r="Q7" s="365"/>
    </row>
    <row r="8" spans="1:17" x14ac:dyDescent="0.3">
      <c r="A8" s="83"/>
      <c r="B8" s="119" t="s">
        <v>18</v>
      </c>
      <c r="C8" s="71"/>
      <c r="D8" s="88" t="s">
        <v>102</v>
      </c>
      <c r="E8" s="361" t="str">
        <f>Pricelink!C30</f>
        <v>Unit E</v>
      </c>
      <c r="F8" s="362"/>
      <c r="G8" s="362"/>
      <c r="H8" s="362"/>
      <c r="I8" s="363"/>
      <c r="J8" s="85"/>
      <c r="K8" s="364" t="s">
        <v>104</v>
      </c>
      <c r="L8" s="364"/>
      <c r="M8" s="88" t="s">
        <v>102</v>
      </c>
      <c r="N8" s="365" t="str">
        <f t="shared" si="0"/>
        <v>Unit E</v>
      </c>
      <c r="O8" s="365"/>
      <c r="P8" s="365"/>
      <c r="Q8" s="365"/>
    </row>
    <row r="9" spans="1:17" hidden="1" x14ac:dyDescent="0.3">
      <c r="A9" s="76"/>
      <c r="B9" s="126"/>
      <c r="C9" s="125"/>
      <c r="D9" s="88"/>
      <c r="E9" s="361"/>
      <c r="F9" s="362"/>
      <c r="G9" s="362"/>
      <c r="H9" s="362"/>
      <c r="I9" s="363"/>
      <c r="J9" s="85"/>
      <c r="K9" s="364"/>
      <c r="L9" s="364"/>
      <c r="M9" s="88"/>
      <c r="N9" s="365"/>
      <c r="O9" s="365"/>
      <c r="P9" s="365"/>
      <c r="Q9" s="365"/>
    </row>
    <row r="10" spans="1:17" ht="17.25" thickBot="1" x14ac:dyDescent="0.35">
      <c r="A10" s="76"/>
      <c r="B10" s="126" t="s">
        <v>105</v>
      </c>
      <c r="C10" s="125"/>
      <c r="D10" s="88" t="s">
        <v>102</v>
      </c>
      <c r="E10" s="361" t="str">
        <f>Pricelink!E30</f>
        <v>Rear</v>
      </c>
      <c r="F10" s="362"/>
      <c r="G10" s="362"/>
      <c r="H10" s="362"/>
      <c r="I10" s="363"/>
      <c r="J10" s="85"/>
      <c r="K10" s="364" t="s">
        <v>105</v>
      </c>
      <c r="L10" s="364"/>
      <c r="M10" s="245" t="s">
        <v>102</v>
      </c>
      <c r="N10" s="365" t="str">
        <f t="shared" si="0"/>
        <v>Rear</v>
      </c>
      <c r="O10" s="365"/>
      <c r="P10" s="365"/>
      <c r="Q10" s="365"/>
    </row>
    <row r="11" spans="1:17" x14ac:dyDescent="0.3">
      <c r="A11" s="76"/>
      <c r="B11" s="126" t="s">
        <v>106</v>
      </c>
      <c r="C11" s="125"/>
      <c r="D11" s="88" t="s">
        <v>102</v>
      </c>
      <c r="E11" s="366">
        <f>Pricelink!F30</f>
        <v>56</v>
      </c>
      <c r="F11" s="367"/>
      <c r="G11" s="189" t="s">
        <v>107</v>
      </c>
      <c r="H11" s="362"/>
      <c r="I11" s="363"/>
      <c r="J11" s="85"/>
      <c r="K11" s="364" t="s">
        <v>108</v>
      </c>
      <c r="L11" s="364"/>
      <c r="M11" s="88" t="s">
        <v>102</v>
      </c>
      <c r="N11" s="368">
        <f t="shared" si="0"/>
        <v>56</v>
      </c>
      <c r="O11" s="369"/>
      <c r="P11" s="370" t="s">
        <v>107</v>
      </c>
      <c r="Q11" s="371"/>
    </row>
    <row r="12" spans="1:17" x14ac:dyDescent="0.3">
      <c r="A12" s="83"/>
      <c r="B12" s="120" t="s">
        <v>92</v>
      </c>
      <c r="C12" s="71"/>
      <c r="D12" s="88" t="s">
        <v>102</v>
      </c>
      <c r="E12" s="366">
        <f>Pricelink!G30</f>
        <v>161.92000000000002</v>
      </c>
      <c r="F12" s="367"/>
      <c r="G12" s="189" t="s">
        <v>107</v>
      </c>
      <c r="H12" s="370"/>
      <c r="I12" s="371"/>
      <c r="J12" s="85"/>
      <c r="K12" s="364" t="s">
        <v>109</v>
      </c>
      <c r="L12" s="364"/>
      <c r="M12" s="88" t="s">
        <v>102</v>
      </c>
      <c r="N12" s="372">
        <f t="shared" si="0"/>
        <v>161.92000000000002</v>
      </c>
      <c r="O12" s="373"/>
      <c r="P12" s="370" t="s">
        <v>107</v>
      </c>
      <c r="Q12" s="371"/>
    </row>
    <row r="13" spans="1:17" x14ac:dyDescent="0.3">
      <c r="A13" s="246"/>
      <c r="B13" s="247"/>
      <c r="C13" s="248"/>
      <c r="D13" s="88"/>
      <c r="E13" s="382"/>
      <c r="F13" s="383"/>
      <c r="G13" s="189"/>
      <c r="H13" s="370"/>
      <c r="I13" s="371"/>
      <c r="J13" s="85"/>
      <c r="K13" s="384"/>
      <c r="L13" s="384"/>
      <c r="M13" s="88"/>
      <c r="N13" s="372"/>
      <c r="O13" s="373"/>
      <c r="P13" s="370"/>
      <c r="Q13" s="371"/>
    </row>
    <row r="14" spans="1:17" x14ac:dyDescent="0.3">
      <c r="A14" s="76"/>
      <c r="B14" s="76"/>
      <c r="C14" s="249"/>
      <c r="D14" s="88"/>
      <c r="E14" s="85"/>
      <c r="F14" s="250"/>
      <c r="G14" s="250"/>
      <c r="H14" s="251"/>
      <c r="I14" s="252"/>
      <c r="J14" s="85"/>
      <c r="K14" s="76"/>
      <c r="L14" s="76"/>
      <c r="M14" s="78"/>
      <c r="N14" s="76"/>
      <c r="O14" s="76"/>
      <c r="P14" s="76"/>
      <c r="Q14" s="76"/>
    </row>
    <row r="15" spans="1:17" ht="15" customHeight="1" x14ac:dyDescent="0.3">
      <c r="A15" s="76"/>
      <c r="B15" s="143" t="s">
        <v>110</v>
      </c>
      <c r="C15" s="143"/>
      <c r="D15" s="253" t="s">
        <v>102</v>
      </c>
      <c r="E15" s="254"/>
      <c r="F15" s="385">
        <f>SUM(Pricelink!H30)</f>
        <v>9496433.6000000015</v>
      </c>
      <c r="G15" s="385"/>
      <c r="H15" s="385"/>
      <c r="I15" s="386"/>
      <c r="J15" s="85"/>
      <c r="K15" s="387" t="s">
        <v>111</v>
      </c>
      <c r="L15" s="387"/>
      <c r="M15" s="388" t="s">
        <v>112</v>
      </c>
      <c r="N15" s="387" t="s">
        <v>113</v>
      </c>
      <c r="O15" s="387"/>
      <c r="P15" s="389" t="s">
        <v>114</v>
      </c>
      <c r="Q15" s="390"/>
    </row>
    <row r="16" spans="1:17" x14ac:dyDescent="0.3">
      <c r="A16" s="76"/>
      <c r="B16" s="72" t="s">
        <v>115</v>
      </c>
      <c r="C16" s="125"/>
      <c r="D16" s="255" t="s">
        <v>102</v>
      </c>
      <c r="E16" s="256"/>
      <c r="F16" s="374"/>
      <c r="G16" s="374"/>
      <c r="H16" s="374"/>
      <c r="I16" s="375"/>
      <c r="J16" s="79"/>
      <c r="K16" s="387"/>
      <c r="L16" s="387"/>
      <c r="M16" s="388"/>
      <c r="N16" s="387"/>
      <c r="O16" s="387"/>
      <c r="P16" s="391"/>
      <c r="Q16" s="392"/>
    </row>
    <row r="17" spans="1:50" x14ac:dyDescent="0.3">
      <c r="A17" s="76"/>
      <c r="B17" s="148" t="s">
        <v>70</v>
      </c>
      <c r="C17" s="73"/>
      <c r="D17" s="85" t="s">
        <v>102</v>
      </c>
      <c r="E17" s="254"/>
      <c r="F17" s="376">
        <f>F15-F16</f>
        <v>9496433.6000000015</v>
      </c>
      <c r="G17" s="376"/>
      <c r="H17" s="376"/>
      <c r="I17" s="377"/>
      <c r="J17" s="79"/>
      <c r="K17" s="378" t="s">
        <v>33</v>
      </c>
      <c r="L17" s="378"/>
      <c r="M17" s="257">
        <f ca="1">C2</f>
        <v>45932.593793518521</v>
      </c>
      <c r="N17" s="379">
        <f>F26</f>
        <v>50000</v>
      </c>
      <c r="O17" s="379"/>
      <c r="P17" s="380"/>
      <c r="Q17" s="381"/>
      <c r="W17" s="258">
        <f ca="1">M17</f>
        <v>45932.593793518521</v>
      </c>
      <c r="X17" s="258">
        <f ca="1">EDATE(W17,E29)</f>
        <v>46297</v>
      </c>
    </row>
    <row r="18" spans="1:50" x14ac:dyDescent="0.3">
      <c r="A18" s="76"/>
      <c r="B18" s="150"/>
      <c r="C18" s="249"/>
      <c r="D18" s="88"/>
      <c r="E18" s="79"/>
      <c r="F18" s="259"/>
      <c r="G18" s="260"/>
      <c r="H18" s="261"/>
      <c r="I18" s="261"/>
      <c r="J18" s="79"/>
      <c r="K18" s="378" t="str">
        <f t="shared" ref="K18:K63" si="1">IF(N18&gt;1,T18,0)</f>
        <v>1st EQUITY PAYMENT</v>
      </c>
      <c r="L18" s="378"/>
      <c r="M18" s="257">
        <f t="shared" ref="M18:M63" ca="1" si="2">IF(N18&gt;1,W18,"")</f>
        <v>45966</v>
      </c>
      <c r="N18" s="379">
        <f>IF(E29&gt;0,F29,"")</f>
        <v>169934.61600000001</v>
      </c>
      <c r="O18" s="379"/>
      <c r="P18" s="380"/>
      <c r="Q18" s="381"/>
      <c r="T18" s="396" t="s">
        <v>116</v>
      </c>
      <c r="U18" s="396"/>
      <c r="W18" s="257">
        <f ca="1">IF(DAY(W17)=31,Y20,AA20)</f>
        <v>45966</v>
      </c>
      <c r="Y18" s="399" t="s">
        <v>117</v>
      </c>
      <c r="Z18" s="399"/>
    </row>
    <row r="19" spans="1:50" hidden="1" x14ac:dyDescent="0.3">
      <c r="A19" s="83"/>
      <c r="B19" s="72" t="s">
        <v>118</v>
      </c>
      <c r="C19" s="125"/>
      <c r="D19" s="255" t="s">
        <v>102</v>
      </c>
      <c r="E19" s="262">
        <v>0</v>
      </c>
      <c r="F19" s="374">
        <f>E19*F17</f>
        <v>0</v>
      </c>
      <c r="G19" s="374"/>
      <c r="H19" s="374"/>
      <c r="I19" s="375"/>
      <c r="J19" s="79"/>
      <c r="K19" s="378" t="str">
        <f t="shared" si="1"/>
        <v>2nd EQUITY PAYMENT</v>
      </c>
      <c r="L19" s="378"/>
      <c r="M19" s="257">
        <f t="shared" ca="1" si="2"/>
        <v>45996</v>
      </c>
      <c r="N19" s="379">
        <f>IF(E29&gt;1,F29,0)</f>
        <v>169934.61600000001</v>
      </c>
      <c r="O19" s="379"/>
      <c r="P19" s="380"/>
      <c r="Q19" s="381"/>
      <c r="T19" s="396" t="s">
        <v>119</v>
      </c>
      <c r="U19" s="396"/>
      <c r="W19" s="257">
        <f t="shared" ref="W19:W61" ca="1" si="3">IF(AND(DAY(W18)&gt;=6,DAY(W18)&lt;=20),DATE(YEAR(W18),MONTH(W18)+1,DAY(20)),IF(AND(DAY(W18)&gt;=21,DAY(W18)&lt;=30),DATE(YEAR(W18),MONTH(W18)+1,IF(DAY(EOMONTH(W18,1))&lt;30,DAY(EOMONTH(W18,1)),DAY(30))),DATE(YEAR(W18),MONTH(W18)+1,DAY(5))))</f>
        <v>45996</v>
      </c>
      <c r="X19" s="263" t="s">
        <v>120</v>
      </c>
      <c r="Y19" s="397" t="b">
        <f ca="1">IF(DAY(W17)=31,DATE(YEAR(X17),MONTH(X17)+2,DAY(5)))</f>
        <v>0</v>
      </c>
      <c r="Z19" s="398"/>
      <c r="AA19" s="264">
        <f ca="1">IF(AND(DAY(X17)&gt;=6,DAY(X17)&lt;=20),DATE(YEAR(X17),MONTH(X17)+1,DAY(20)),IF(AND(DAY(X17)&gt;=21,DAY(X17)&lt;=31),DATE(YEAR(X17),MONTH(X17)+1,IF(DAY(EOMONTH(X17,1))&lt;30,DAY(EOMONTH(X17,1)),DAY(30))),DATE(YEAR(X17),MONTH(X17)+1,DAY(5))))</f>
        <v>46331</v>
      </c>
    </row>
    <row r="20" spans="1:50" x14ac:dyDescent="0.3">
      <c r="A20" s="246"/>
      <c r="B20" s="180" t="s">
        <v>121</v>
      </c>
      <c r="C20" s="73"/>
      <c r="D20" s="88" t="s">
        <v>102</v>
      </c>
      <c r="E20" s="155">
        <v>0.1</v>
      </c>
      <c r="F20" s="393">
        <f>E20*F15</f>
        <v>949643.36000000022</v>
      </c>
      <c r="G20" s="394"/>
      <c r="H20" s="394"/>
      <c r="I20" s="395"/>
      <c r="J20" s="79"/>
      <c r="K20" s="378" t="str">
        <f t="shared" si="1"/>
        <v>3rd EQUITY PAYMENT</v>
      </c>
      <c r="L20" s="378"/>
      <c r="M20" s="257">
        <f t="shared" ca="1" si="2"/>
        <v>46027</v>
      </c>
      <c r="N20" s="379">
        <f>IF(E29&gt;2,F29,0)</f>
        <v>169934.61600000001</v>
      </c>
      <c r="O20" s="379"/>
      <c r="P20" s="380"/>
      <c r="Q20" s="381"/>
      <c r="T20" s="396" t="s">
        <v>122</v>
      </c>
      <c r="U20" s="396"/>
      <c r="W20" s="257">
        <f t="shared" ca="1" si="3"/>
        <v>46027</v>
      </c>
      <c r="X20" s="263" t="s">
        <v>123</v>
      </c>
      <c r="Y20" s="397" t="b">
        <f ca="1">IF(DAY(W17)=31,DATE(YEAR(W17),MONTH(W17)+2,DAY(5)))</f>
        <v>0</v>
      </c>
      <c r="Z20" s="398"/>
      <c r="AA20" s="264">
        <f ca="1">IF(AND(DAY(W17)&gt;=6,DAY(W17)&lt;=20),DATE(YEAR(W17),MONTH(W17)+1,DAY(20)),IF(AND(DAY(W17)&gt;=21,DAY(W17)&lt;=30),DATE(YEAR(W17),MONTH(W17)+1,IF(DAY(EOMONTH(W17,1))&lt;31,DAY(EOMONTH(W17,1)),DAY(30))),DATE(YEAR(W17),MONTH(W17)+1,DAY(5))))</f>
        <v>45966</v>
      </c>
      <c r="AX20" s="91"/>
    </row>
    <row r="21" spans="1:50" x14ac:dyDescent="0.3">
      <c r="A21" s="76"/>
      <c r="B21" s="150"/>
      <c r="C21" s="79"/>
      <c r="D21" s="88"/>
      <c r="E21" s="85"/>
      <c r="F21" s="265"/>
      <c r="G21" s="259"/>
      <c r="H21" s="259"/>
      <c r="I21" s="259"/>
      <c r="J21" s="79"/>
      <c r="K21" s="378" t="str">
        <f t="shared" si="1"/>
        <v>4th EQUITY PAYMENT</v>
      </c>
      <c r="L21" s="378"/>
      <c r="M21" s="257">
        <f t="shared" ca="1" si="2"/>
        <v>46058</v>
      </c>
      <c r="N21" s="379">
        <f>IF(E29&gt;3,F29,0)</f>
        <v>169934.61600000001</v>
      </c>
      <c r="O21" s="379"/>
      <c r="P21" s="380"/>
      <c r="Q21" s="381"/>
      <c r="T21" s="396" t="s">
        <v>124</v>
      </c>
      <c r="U21" s="396"/>
      <c r="W21" s="257">
        <f t="shared" ca="1" si="3"/>
        <v>46058</v>
      </c>
      <c r="AX21" s="91"/>
    </row>
    <row r="22" spans="1:50" x14ac:dyDescent="0.3">
      <c r="A22" s="76"/>
      <c r="B22" s="148" t="s">
        <v>32</v>
      </c>
      <c r="C22" s="73"/>
      <c r="D22" s="85" t="s">
        <v>102</v>
      </c>
      <c r="E22" s="266"/>
      <c r="F22" s="400">
        <f>F17+F19+F20</f>
        <v>10446076.960000001</v>
      </c>
      <c r="G22" s="401"/>
      <c r="H22" s="401"/>
      <c r="I22" s="402"/>
      <c r="J22" s="79"/>
      <c r="K22" s="378" t="str">
        <f t="shared" si="1"/>
        <v>5th EQUITY PAYMENT</v>
      </c>
      <c r="L22" s="378"/>
      <c r="M22" s="257">
        <f t="shared" ca="1" si="2"/>
        <v>46086</v>
      </c>
      <c r="N22" s="379">
        <f>IF(E29&gt;4,F29,0)</f>
        <v>169934.61600000001</v>
      </c>
      <c r="O22" s="379"/>
      <c r="P22" s="380"/>
      <c r="Q22" s="381"/>
      <c r="T22" s="396" t="s">
        <v>125</v>
      </c>
      <c r="U22" s="396"/>
      <c r="W22" s="257">
        <f t="shared" ca="1" si="3"/>
        <v>46086</v>
      </c>
      <c r="AX22" s="91"/>
    </row>
    <row r="23" spans="1:50" x14ac:dyDescent="0.3">
      <c r="A23" s="76"/>
      <c r="B23" s="150"/>
      <c r="C23" s="79"/>
      <c r="D23" s="88"/>
      <c r="E23" s="85"/>
      <c r="F23" s="259"/>
      <c r="G23" s="267"/>
      <c r="H23" s="267"/>
      <c r="I23" s="267"/>
      <c r="J23" s="79"/>
      <c r="K23" s="378" t="str">
        <f t="shared" si="1"/>
        <v>6th EQUITY PAYMENT</v>
      </c>
      <c r="L23" s="378"/>
      <c r="M23" s="257">
        <f t="shared" ca="1" si="2"/>
        <v>46117</v>
      </c>
      <c r="N23" s="379">
        <f>IF(E29&gt;5,F29,0)</f>
        <v>169934.61600000001</v>
      </c>
      <c r="O23" s="379"/>
      <c r="P23" s="380"/>
      <c r="Q23" s="381"/>
      <c r="T23" s="396" t="s">
        <v>126</v>
      </c>
      <c r="U23" s="396"/>
      <c r="W23" s="257">
        <f t="shared" ca="1" si="3"/>
        <v>46117</v>
      </c>
      <c r="AX23" s="91"/>
    </row>
    <row r="24" spans="1:50" x14ac:dyDescent="0.3">
      <c r="A24" s="76"/>
      <c r="B24" s="143" t="s">
        <v>127</v>
      </c>
      <c r="C24" s="71"/>
      <c r="D24" s="253" t="s">
        <v>102</v>
      </c>
      <c r="E24" s="268">
        <f>IF([3]FORM!I26="",[3]FORM!I24,[3]FORM!I26)</f>
        <v>0.2</v>
      </c>
      <c r="F24" s="400">
        <f>F22*E24</f>
        <v>2089215.3920000002</v>
      </c>
      <c r="G24" s="401"/>
      <c r="H24" s="401"/>
      <c r="I24" s="402"/>
      <c r="J24" s="79"/>
      <c r="K24" s="378" t="str">
        <f t="shared" si="1"/>
        <v>7th EQUITY PAYMENT</v>
      </c>
      <c r="L24" s="378"/>
      <c r="M24" s="257">
        <f t="shared" ca="1" si="2"/>
        <v>46147</v>
      </c>
      <c r="N24" s="379">
        <f>IF(E29&gt;6,F29,0)</f>
        <v>169934.61600000001</v>
      </c>
      <c r="O24" s="379"/>
      <c r="P24" s="380"/>
      <c r="Q24" s="381"/>
      <c r="T24" s="396" t="s">
        <v>128</v>
      </c>
      <c r="U24" s="396"/>
      <c r="W24" s="257">
        <f t="shared" ca="1" si="3"/>
        <v>46147</v>
      </c>
      <c r="AX24" s="91"/>
    </row>
    <row r="25" spans="1:50" x14ac:dyDescent="0.3">
      <c r="A25" s="76"/>
      <c r="B25" s="403" t="s">
        <v>129</v>
      </c>
      <c r="C25" s="403"/>
      <c r="D25" s="255" t="str">
        <f>D24</f>
        <v>:</v>
      </c>
      <c r="E25" s="269"/>
      <c r="F25" s="270">
        <v>0</v>
      </c>
      <c r="G25" s="270"/>
      <c r="H25" s="404"/>
      <c r="I25" s="405"/>
      <c r="J25" s="79"/>
      <c r="K25" s="378" t="str">
        <f t="shared" si="1"/>
        <v>8th EQUITY PAYMENT</v>
      </c>
      <c r="L25" s="378"/>
      <c r="M25" s="257">
        <f t="shared" ca="1" si="2"/>
        <v>46178</v>
      </c>
      <c r="N25" s="379">
        <f>IF(E29&gt;7,F29,0)</f>
        <v>169934.61600000001</v>
      </c>
      <c r="O25" s="379"/>
      <c r="P25" s="380"/>
      <c r="Q25" s="381"/>
      <c r="T25" s="396" t="s">
        <v>130</v>
      </c>
      <c r="U25" s="396"/>
      <c r="W25" s="257">
        <f t="shared" ca="1" si="3"/>
        <v>46178</v>
      </c>
      <c r="AX25" s="91"/>
    </row>
    <row r="26" spans="1:50" x14ac:dyDescent="0.3">
      <c r="A26" s="83"/>
      <c r="B26" s="126" t="s">
        <v>131</v>
      </c>
      <c r="C26" s="125"/>
      <c r="D26" s="88" t="s">
        <v>102</v>
      </c>
      <c r="E26" s="271"/>
      <c r="F26" s="272">
        <v>50000</v>
      </c>
      <c r="G26" s="273"/>
      <c r="H26" s="274"/>
      <c r="I26" s="275"/>
      <c r="J26" s="79"/>
      <c r="K26" s="378" t="str">
        <f t="shared" si="1"/>
        <v>9th EQUITY PAYMENT</v>
      </c>
      <c r="L26" s="378"/>
      <c r="M26" s="257">
        <f t="shared" ca="1" si="2"/>
        <v>46208</v>
      </c>
      <c r="N26" s="379">
        <f>IF(E29&gt;8,F29,0)</f>
        <v>169934.61600000001</v>
      </c>
      <c r="O26" s="379"/>
      <c r="P26" s="380"/>
      <c r="Q26" s="381"/>
      <c r="T26" s="396" t="s">
        <v>132</v>
      </c>
      <c r="U26" s="396"/>
      <c r="W26" s="257">
        <f t="shared" ca="1" si="3"/>
        <v>46208</v>
      </c>
      <c r="AX26" s="91"/>
    </row>
    <row r="27" spans="1:50" x14ac:dyDescent="0.3">
      <c r="A27" s="76"/>
      <c r="B27" s="148" t="s">
        <v>133</v>
      </c>
      <c r="C27" s="200"/>
      <c r="D27" s="85" t="s">
        <v>102</v>
      </c>
      <c r="E27" s="271"/>
      <c r="F27" s="400">
        <f>F24-F25-F26</f>
        <v>2039215.3920000002</v>
      </c>
      <c r="G27" s="401"/>
      <c r="H27" s="401"/>
      <c r="I27" s="402"/>
      <c r="J27" s="79"/>
      <c r="K27" s="378" t="str">
        <f t="shared" si="1"/>
        <v>10th EQUITY PAYMENT</v>
      </c>
      <c r="L27" s="378"/>
      <c r="M27" s="257">
        <f t="shared" ca="1" si="2"/>
        <v>46239</v>
      </c>
      <c r="N27" s="379">
        <f>IF(E29&gt;9,F29,0)</f>
        <v>169934.61600000001</v>
      </c>
      <c r="O27" s="379"/>
      <c r="P27" s="380"/>
      <c r="Q27" s="381"/>
      <c r="T27" s="396" t="s">
        <v>134</v>
      </c>
      <c r="U27" s="396"/>
      <c r="W27" s="257">
        <f t="shared" ca="1" si="3"/>
        <v>46239</v>
      </c>
      <c r="AX27" s="91"/>
    </row>
    <row r="28" spans="1:50" x14ac:dyDescent="0.3">
      <c r="A28" s="76"/>
      <c r="B28" s="150"/>
      <c r="C28" s="79"/>
      <c r="D28" s="88"/>
      <c r="E28" s="85"/>
      <c r="F28" s="259"/>
      <c r="G28" s="267"/>
      <c r="H28" s="267"/>
      <c r="I28" s="267"/>
      <c r="J28" s="79"/>
      <c r="K28" s="378" t="str">
        <f t="shared" si="1"/>
        <v>11th EQUITY PAYMENT</v>
      </c>
      <c r="L28" s="378"/>
      <c r="M28" s="257">
        <f t="shared" ca="1" si="2"/>
        <v>46270</v>
      </c>
      <c r="N28" s="379">
        <f>IF(E29&gt;10,F29,0)</f>
        <v>169934.61600000001</v>
      </c>
      <c r="O28" s="379"/>
      <c r="P28" s="380"/>
      <c r="Q28" s="381"/>
      <c r="T28" s="396" t="s">
        <v>135</v>
      </c>
      <c r="U28" s="396"/>
      <c r="W28" s="257">
        <f t="shared" ca="1" si="3"/>
        <v>46270</v>
      </c>
      <c r="AX28" s="91"/>
    </row>
    <row r="29" spans="1:50" x14ac:dyDescent="0.3">
      <c r="A29" s="276"/>
      <c r="B29" s="406" t="s">
        <v>136</v>
      </c>
      <c r="C29" s="406"/>
      <c r="D29" s="85" t="s">
        <v>102</v>
      </c>
      <c r="E29" s="277">
        <f>Pricelink!N30</f>
        <v>12</v>
      </c>
      <c r="F29" s="400">
        <f>F27/E29</f>
        <v>169934.61600000001</v>
      </c>
      <c r="G29" s="401"/>
      <c r="H29" s="401"/>
      <c r="I29" s="402"/>
      <c r="J29" s="79"/>
      <c r="K29" s="378" t="str">
        <f t="shared" si="1"/>
        <v>12th EQUITY PAYMENT</v>
      </c>
      <c r="L29" s="378"/>
      <c r="M29" s="257">
        <f t="shared" ca="1" si="2"/>
        <v>46300</v>
      </c>
      <c r="N29" s="407">
        <f>IF(E29&gt;11,F29,0)</f>
        <v>169934.61600000001</v>
      </c>
      <c r="O29" s="407"/>
      <c r="P29" s="380"/>
      <c r="Q29" s="381"/>
      <c r="T29" s="396" t="s">
        <v>137</v>
      </c>
      <c r="U29" s="396"/>
      <c r="W29" s="257">
        <f t="shared" ca="1" si="3"/>
        <v>46300</v>
      </c>
      <c r="AX29" s="91"/>
    </row>
    <row r="30" spans="1:50" x14ac:dyDescent="0.3">
      <c r="A30" s="76"/>
      <c r="B30" s="76"/>
      <c r="C30" s="249"/>
      <c r="D30" s="88"/>
      <c r="E30" s="278"/>
      <c r="F30" s="259"/>
      <c r="G30" s="259"/>
      <c r="H30" s="259"/>
      <c r="I30" s="259"/>
      <c r="J30" s="79"/>
      <c r="K30" s="408">
        <f t="shared" si="1"/>
        <v>0</v>
      </c>
      <c r="L30" s="408"/>
      <c r="M30" s="257" t="str">
        <f t="shared" si="2"/>
        <v/>
      </c>
      <c r="N30" s="409">
        <f>IF(E29&gt;12,F29,0)</f>
        <v>0</v>
      </c>
      <c r="O30" s="409"/>
      <c r="P30" s="380"/>
      <c r="Q30" s="381"/>
      <c r="T30" s="396" t="s">
        <v>138</v>
      </c>
      <c r="U30" s="396"/>
      <c r="W30" s="257">
        <f t="shared" ca="1" si="3"/>
        <v>46331</v>
      </c>
      <c r="AX30" s="91"/>
    </row>
    <row r="31" spans="1:50" x14ac:dyDescent="0.3">
      <c r="A31" s="76"/>
      <c r="B31" s="148" t="s">
        <v>139</v>
      </c>
      <c r="C31" s="148"/>
      <c r="D31" s="85" t="s">
        <v>102</v>
      </c>
      <c r="E31" s="279">
        <f>100%-E24</f>
        <v>0.8</v>
      </c>
      <c r="F31" s="400">
        <f>F22*E31</f>
        <v>8356861.5680000009</v>
      </c>
      <c r="G31" s="401"/>
      <c r="H31" s="401"/>
      <c r="I31" s="402"/>
      <c r="J31" s="79"/>
      <c r="K31" s="408">
        <f t="shared" si="1"/>
        <v>0</v>
      </c>
      <c r="L31" s="408"/>
      <c r="M31" s="257" t="str">
        <f t="shared" si="2"/>
        <v/>
      </c>
      <c r="N31" s="409">
        <f>IF(E29&gt;13,F29,0)</f>
        <v>0</v>
      </c>
      <c r="O31" s="409"/>
      <c r="P31" s="380"/>
      <c r="Q31" s="381"/>
      <c r="T31" s="396" t="s">
        <v>140</v>
      </c>
      <c r="U31" s="396"/>
      <c r="W31" s="257">
        <f t="shared" ca="1" si="3"/>
        <v>46361</v>
      </c>
      <c r="AX31" s="91"/>
    </row>
    <row r="32" spans="1:50" x14ac:dyDescent="0.3">
      <c r="A32" s="76"/>
      <c r="B32" s="76"/>
      <c r="C32" s="249"/>
      <c r="D32" s="278"/>
      <c r="E32" s="278"/>
      <c r="F32" s="278"/>
      <c r="G32" s="280"/>
      <c r="H32" s="280"/>
      <c r="I32" s="280"/>
      <c r="J32" s="170"/>
      <c r="K32" s="408">
        <f t="shared" si="1"/>
        <v>0</v>
      </c>
      <c r="L32" s="408"/>
      <c r="M32" s="257" t="str">
        <f t="shared" si="2"/>
        <v/>
      </c>
      <c r="N32" s="409">
        <f>IF(E29&gt;14,F29,0)</f>
        <v>0</v>
      </c>
      <c r="O32" s="409"/>
      <c r="P32" s="380"/>
      <c r="Q32" s="381"/>
      <c r="T32" s="396" t="s">
        <v>141</v>
      </c>
      <c r="U32" s="396"/>
      <c r="W32" s="257">
        <f t="shared" ca="1" si="3"/>
        <v>46392</v>
      </c>
      <c r="AX32" s="91"/>
    </row>
    <row r="33" spans="1:49" s="91" customFormat="1" x14ac:dyDescent="0.3">
      <c r="A33" s="76"/>
      <c r="B33" s="73" t="s">
        <v>142</v>
      </c>
      <c r="C33" s="180"/>
      <c r="D33" s="137"/>
      <c r="E33" s="281"/>
      <c r="F33" s="278"/>
      <c r="G33" s="280"/>
      <c r="H33" s="280"/>
      <c r="I33" s="280"/>
      <c r="J33" s="85"/>
      <c r="K33" s="408">
        <f t="shared" si="1"/>
        <v>0</v>
      </c>
      <c r="L33" s="408"/>
      <c r="M33" s="257" t="str">
        <f t="shared" si="2"/>
        <v/>
      </c>
      <c r="N33" s="409">
        <f>IF(E29&gt;15,F29,0)</f>
        <v>0</v>
      </c>
      <c r="O33" s="409"/>
      <c r="P33" s="380"/>
      <c r="Q33" s="381"/>
      <c r="T33" s="396" t="s">
        <v>143</v>
      </c>
      <c r="U33" s="396"/>
      <c r="W33" s="257">
        <f t="shared" ca="1" si="3"/>
        <v>46423</v>
      </c>
      <c r="AJ33" s="234"/>
      <c r="AW33" s="235"/>
    </row>
    <row r="34" spans="1:49" s="91" customFormat="1" x14ac:dyDescent="0.3">
      <c r="A34" s="76"/>
      <c r="B34" s="76"/>
      <c r="C34" s="249"/>
      <c r="D34" s="249"/>
      <c r="E34" s="282"/>
      <c r="F34" s="214"/>
      <c r="G34" s="214"/>
      <c r="H34" s="214"/>
      <c r="I34" s="214"/>
      <c r="J34" s="249"/>
      <c r="K34" s="408">
        <f t="shared" si="1"/>
        <v>0</v>
      </c>
      <c r="L34" s="408"/>
      <c r="M34" s="257" t="str">
        <f t="shared" si="2"/>
        <v/>
      </c>
      <c r="N34" s="409">
        <f>IF(E29&gt;16,F29,0)</f>
        <v>0</v>
      </c>
      <c r="O34" s="409"/>
      <c r="P34" s="380"/>
      <c r="Q34" s="381"/>
      <c r="T34" s="396" t="s">
        <v>144</v>
      </c>
      <c r="U34" s="396"/>
      <c r="W34" s="257">
        <f t="shared" ca="1" si="3"/>
        <v>46451</v>
      </c>
      <c r="AJ34" s="234"/>
      <c r="AW34" s="235"/>
    </row>
    <row r="35" spans="1:49" s="91" customFormat="1" x14ac:dyDescent="0.3">
      <c r="A35" s="76"/>
      <c r="B35" s="217" t="s">
        <v>145</v>
      </c>
      <c r="C35" s="217" t="s">
        <v>146</v>
      </c>
      <c r="D35" s="217" t="s">
        <v>147</v>
      </c>
      <c r="E35" s="217" t="s">
        <v>148</v>
      </c>
      <c r="F35" s="387" t="s">
        <v>149</v>
      </c>
      <c r="G35" s="387"/>
      <c r="H35" s="387"/>
      <c r="I35" s="387"/>
      <c r="J35" s="79"/>
      <c r="K35" s="408">
        <f t="shared" si="1"/>
        <v>0</v>
      </c>
      <c r="L35" s="408"/>
      <c r="M35" s="257" t="str">
        <f t="shared" si="2"/>
        <v/>
      </c>
      <c r="N35" s="409">
        <f>IF(E29&gt;17,F29,0)</f>
        <v>0</v>
      </c>
      <c r="O35" s="409"/>
      <c r="P35" s="380"/>
      <c r="Q35" s="381"/>
      <c r="T35" s="396" t="s">
        <v>150</v>
      </c>
      <c r="U35" s="396"/>
      <c r="W35" s="257">
        <f t="shared" ca="1" si="3"/>
        <v>46482</v>
      </c>
      <c r="AJ35" s="234"/>
      <c r="AW35" s="235"/>
    </row>
    <row r="36" spans="1:49" s="91" customFormat="1" x14ac:dyDescent="0.3">
      <c r="A36" s="76"/>
      <c r="B36" s="218">
        <v>5</v>
      </c>
      <c r="C36" s="219">
        <v>0.08</v>
      </c>
      <c r="D36" s="220">
        <f>PMT(C36/12,B36*12,-1)</f>
        <v>2.0276394288413678E-2</v>
      </c>
      <c r="E36" s="221">
        <f>F31*D36</f>
        <v>169447.020166459</v>
      </c>
      <c r="F36" s="379">
        <f>E36/0.3</f>
        <v>564823.40055486339</v>
      </c>
      <c r="G36" s="379"/>
      <c r="H36" s="379"/>
      <c r="I36" s="379"/>
      <c r="J36" s="79"/>
      <c r="K36" s="408">
        <f t="shared" si="1"/>
        <v>0</v>
      </c>
      <c r="L36" s="408"/>
      <c r="M36" s="257" t="str">
        <f t="shared" si="2"/>
        <v/>
      </c>
      <c r="N36" s="409">
        <f>IF(E29&gt;18,F29,0)</f>
        <v>0</v>
      </c>
      <c r="O36" s="409"/>
      <c r="P36" s="380"/>
      <c r="Q36" s="381"/>
      <c r="T36" s="396" t="s">
        <v>151</v>
      </c>
      <c r="U36" s="396"/>
      <c r="W36" s="257">
        <f t="shared" ca="1" si="3"/>
        <v>46512</v>
      </c>
      <c r="AJ36" s="234"/>
      <c r="AW36" s="235"/>
    </row>
    <row r="37" spans="1:49" s="91" customFormat="1" x14ac:dyDescent="0.3">
      <c r="A37" s="76"/>
      <c r="B37" s="218">
        <v>10</v>
      </c>
      <c r="C37" s="219">
        <v>0.08</v>
      </c>
      <c r="D37" s="220">
        <f>PMT(C37/12,B37*12,-1)</f>
        <v>1.2132759435535692E-2</v>
      </c>
      <c r="E37" s="221">
        <f>F31*D37</f>
        <v>101391.79104061761</v>
      </c>
      <c r="F37" s="379">
        <f t="shared" ref="F37" si="4">E37/0.3</f>
        <v>337972.63680205873</v>
      </c>
      <c r="G37" s="379"/>
      <c r="H37" s="379"/>
      <c r="I37" s="379"/>
      <c r="J37" s="79"/>
      <c r="K37" s="408">
        <f t="shared" si="1"/>
        <v>0</v>
      </c>
      <c r="L37" s="408"/>
      <c r="M37" s="257" t="str">
        <f t="shared" si="2"/>
        <v/>
      </c>
      <c r="N37" s="409">
        <f>IF(E29&gt;19,F29,0)</f>
        <v>0</v>
      </c>
      <c r="O37" s="409"/>
      <c r="P37" s="380"/>
      <c r="Q37" s="381"/>
      <c r="T37" s="396" t="s">
        <v>152</v>
      </c>
      <c r="U37" s="396"/>
      <c r="W37" s="257">
        <f t="shared" ca="1" si="3"/>
        <v>46543</v>
      </c>
      <c r="AJ37" s="234"/>
      <c r="AW37" s="235"/>
    </row>
    <row r="38" spans="1:49" s="91" customFormat="1" x14ac:dyDescent="0.3">
      <c r="A38" s="76"/>
      <c r="B38" s="218">
        <v>15</v>
      </c>
      <c r="C38" s="219">
        <v>0.08</v>
      </c>
      <c r="D38" s="220">
        <f t="shared" ref="D38" si="5">PMT(C38/12,B38*12,-1)</f>
        <v>9.5565208433035145E-3</v>
      </c>
      <c r="E38" s="221">
        <f>F31*D38</f>
        <v>79862.521759194104</v>
      </c>
      <c r="F38" s="379">
        <f>E38/0.3</f>
        <v>266208.40586398036</v>
      </c>
      <c r="G38" s="379"/>
      <c r="H38" s="379"/>
      <c r="I38" s="379"/>
      <c r="J38" s="79"/>
      <c r="K38" s="408">
        <f t="shared" si="1"/>
        <v>0</v>
      </c>
      <c r="L38" s="408"/>
      <c r="M38" s="257" t="str">
        <f t="shared" si="2"/>
        <v/>
      </c>
      <c r="N38" s="409">
        <f>IF(E29&gt;20,F29,0)</f>
        <v>0</v>
      </c>
      <c r="O38" s="409"/>
      <c r="P38" s="380"/>
      <c r="Q38" s="381"/>
      <c r="T38" s="396" t="s">
        <v>153</v>
      </c>
      <c r="U38" s="396"/>
      <c r="W38" s="257">
        <f t="shared" ca="1" si="3"/>
        <v>46573</v>
      </c>
      <c r="AJ38" s="234"/>
      <c r="AW38" s="235"/>
    </row>
    <row r="39" spans="1:49" s="91" customFormat="1" x14ac:dyDescent="0.3">
      <c r="A39" s="76"/>
      <c r="B39" s="223" t="s">
        <v>154</v>
      </c>
      <c r="C39" s="283"/>
      <c r="D39" s="284"/>
      <c r="E39" s="285"/>
      <c r="F39" s="410"/>
      <c r="G39" s="410"/>
      <c r="H39" s="286"/>
      <c r="I39" s="76"/>
      <c r="J39" s="79"/>
      <c r="K39" s="408">
        <f t="shared" si="1"/>
        <v>0</v>
      </c>
      <c r="L39" s="408"/>
      <c r="M39" s="257" t="str">
        <f t="shared" si="2"/>
        <v/>
      </c>
      <c r="N39" s="409">
        <f>IF(E29&gt;21,F29,0)</f>
        <v>0</v>
      </c>
      <c r="O39" s="409"/>
      <c r="P39" s="380"/>
      <c r="Q39" s="381"/>
      <c r="T39" s="396" t="s">
        <v>155</v>
      </c>
      <c r="U39" s="396"/>
      <c r="W39" s="257">
        <f t="shared" ca="1" si="3"/>
        <v>46604</v>
      </c>
      <c r="AJ39" s="234"/>
      <c r="AW39" s="235"/>
    </row>
    <row r="40" spans="1:49" s="91" customFormat="1" x14ac:dyDescent="0.3">
      <c r="A40" s="76"/>
      <c r="B40" s="223" t="s">
        <v>156</v>
      </c>
      <c r="C40" s="225"/>
      <c r="D40" s="88"/>
      <c r="E40" s="76"/>
      <c r="F40" s="76"/>
      <c r="G40" s="76"/>
      <c r="H40" s="76"/>
      <c r="I40" s="76"/>
      <c r="J40" s="79"/>
      <c r="K40" s="408">
        <f t="shared" si="1"/>
        <v>0</v>
      </c>
      <c r="L40" s="408"/>
      <c r="M40" s="257" t="str">
        <f t="shared" si="2"/>
        <v/>
      </c>
      <c r="N40" s="409">
        <f>IF(E29&gt;22,F29,0)</f>
        <v>0</v>
      </c>
      <c r="O40" s="409"/>
      <c r="P40" s="380"/>
      <c r="Q40" s="381"/>
      <c r="T40" s="396" t="s">
        <v>157</v>
      </c>
      <c r="U40" s="396"/>
      <c r="W40" s="257">
        <f t="shared" ca="1" si="3"/>
        <v>46635</v>
      </c>
      <c r="AJ40" s="234"/>
      <c r="AN40" s="287">
        <v>3128865.99</v>
      </c>
      <c r="AW40" s="235"/>
    </row>
    <row r="41" spans="1:49" s="91" customFormat="1" x14ac:dyDescent="0.3">
      <c r="A41" s="76"/>
      <c r="B41" s="224" t="s">
        <v>158</v>
      </c>
      <c r="C41" s="76"/>
      <c r="D41" s="88"/>
      <c r="E41" s="76"/>
      <c r="F41" s="76"/>
      <c r="G41" s="76"/>
      <c r="H41" s="76"/>
      <c r="I41" s="76"/>
      <c r="J41" s="79"/>
      <c r="K41" s="408">
        <f t="shared" si="1"/>
        <v>0</v>
      </c>
      <c r="L41" s="408"/>
      <c r="M41" s="257" t="str">
        <f t="shared" si="2"/>
        <v/>
      </c>
      <c r="N41" s="409">
        <f>IF(E29&gt;24,F29,0)</f>
        <v>0</v>
      </c>
      <c r="O41" s="409"/>
      <c r="P41" s="380"/>
      <c r="Q41" s="381"/>
      <c r="T41" s="396" t="s">
        <v>159</v>
      </c>
      <c r="U41" s="396"/>
      <c r="W41" s="257">
        <f t="shared" ca="1" si="3"/>
        <v>46665</v>
      </c>
      <c r="AJ41" s="234"/>
      <c r="AW41" s="235"/>
    </row>
    <row r="42" spans="1:49" s="91" customFormat="1" x14ac:dyDescent="0.3">
      <c r="A42" s="76"/>
      <c r="B42" s="224" t="s">
        <v>160</v>
      </c>
      <c r="C42" s="225"/>
      <c r="D42" s="88"/>
      <c r="E42" s="76"/>
      <c r="F42" s="76"/>
      <c r="G42" s="76"/>
      <c r="H42" s="76"/>
      <c r="I42" s="76"/>
      <c r="J42" s="85"/>
      <c r="K42" s="408">
        <f t="shared" si="1"/>
        <v>0</v>
      </c>
      <c r="L42" s="408"/>
      <c r="M42" s="257" t="str">
        <f t="shared" si="2"/>
        <v/>
      </c>
      <c r="N42" s="409">
        <f>IF(E29&gt;24,F29,0)</f>
        <v>0</v>
      </c>
      <c r="O42" s="409"/>
      <c r="P42" s="380"/>
      <c r="Q42" s="381"/>
      <c r="T42" s="396" t="s">
        <v>161</v>
      </c>
      <c r="U42" s="396"/>
      <c r="W42" s="257">
        <f t="shared" ca="1" si="3"/>
        <v>46696</v>
      </c>
      <c r="AJ42" s="234"/>
      <c r="AW42" s="235"/>
    </row>
    <row r="43" spans="1:49" s="91" customFormat="1" hidden="1" x14ac:dyDescent="0.3">
      <c r="A43" s="76"/>
      <c r="B43" s="223"/>
      <c r="C43" s="76"/>
      <c r="D43" s="76"/>
      <c r="E43" s="76"/>
      <c r="F43" s="76"/>
      <c r="G43" s="76"/>
      <c r="H43" s="76"/>
      <c r="I43" s="76"/>
      <c r="J43" s="88"/>
      <c r="K43" s="378">
        <f t="shared" si="1"/>
        <v>0</v>
      </c>
      <c r="L43" s="378"/>
      <c r="M43" s="257" t="str">
        <f t="shared" si="2"/>
        <v/>
      </c>
      <c r="N43" s="407">
        <f>IF(E29&gt;25,F29,0)</f>
        <v>0</v>
      </c>
      <c r="O43" s="407"/>
      <c r="P43" s="380"/>
      <c r="Q43" s="381"/>
      <c r="T43" s="396" t="s">
        <v>162</v>
      </c>
      <c r="U43" s="396"/>
      <c r="W43" s="257">
        <f t="shared" ca="1" si="3"/>
        <v>46726</v>
      </c>
      <c r="AJ43" s="234"/>
      <c r="AW43" s="235"/>
    </row>
    <row r="44" spans="1:49" s="91" customFormat="1" hidden="1" x14ac:dyDescent="0.3">
      <c r="A44" s="76"/>
      <c r="B44" s="164" t="s">
        <v>163</v>
      </c>
      <c r="C44" s="164"/>
      <c r="D44" s="249"/>
      <c r="E44" s="249"/>
      <c r="F44" s="249"/>
      <c r="G44" s="249"/>
      <c r="H44" s="249"/>
      <c r="I44" s="249"/>
      <c r="J44" s="88"/>
      <c r="K44" s="378">
        <f t="shared" si="1"/>
        <v>0</v>
      </c>
      <c r="L44" s="378"/>
      <c r="M44" s="257" t="str">
        <f t="shared" si="2"/>
        <v/>
      </c>
      <c r="N44" s="407">
        <f>IF(E29&gt;26,F29,0)</f>
        <v>0</v>
      </c>
      <c r="O44" s="407"/>
      <c r="P44" s="380"/>
      <c r="Q44" s="381"/>
      <c r="T44" s="396" t="s">
        <v>164</v>
      </c>
      <c r="U44" s="396"/>
      <c r="W44" s="257">
        <f t="shared" ca="1" si="3"/>
        <v>46757</v>
      </c>
      <c r="AJ44" s="234"/>
      <c r="AW44" s="235"/>
    </row>
    <row r="45" spans="1:49" s="91" customFormat="1" hidden="1" x14ac:dyDescent="0.3">
      <c r="A45" s="76"/>
      <c r="B45" s="249"/>
      <c r="C45" s="249"/>
      <c r="D45" s="249"/>
      <c r="E45" s="249"/>
      <c r="F45" s="249"/>
      <c r="G45" s="249"/>
      <c r="H45" s="249"/>
      <c r="I45" s="249"/>
      <c r="J45" s="88"/>
      <c r="K45" s="378">
        <f t="shared" si="1"/>
        <v>0</v>
      </c>
      <c r="L45" s="378"/>
      <c r="M45" s="257" t="str">
        <f t="shared" si="2"/>
        <v/>
      </c>
      <c r="N45" s="407">
        <f>IF($E$29&gt;27,$F$29,0)</f>
        <v>0</v>
      </c>
      <c r="O45" s="407"/>
      <c r="P45" s="380"/>
      <c r="Q45" s="381"/>
      <c r="T45" s="396" t="s">
        <v>165</v>
      </c>
      <c r="U45" s="396"/>
      <c r="W45" s="257">
        <f t="shared" ca="1" si="3"/>
        <v>46788</v>
      </c>
      <c r="AJ45" s="234"/>
      <c r="AW45" s="235"/>
    </row>
    <row r="46" spans="1:49" s="91" customFormat="1" hidden="1" x14ac:dyDescent="0.3">
      <c r="A46" s="76"/>
      <c r="B46" s="411"/>
      <c r="C46" s="411"/>
      <c r="D46" s="411"/>
      <c r="E46" s="411"/>
      <c r="F46" s="411"/>
      <c r="G46" s="411"/>
      <c r="H46" s="411"/>
      <c r="I46" s="411"/>
      <c r="J46" s="88"/>
      <c r="K46" s="378">
        <f t="shared" si="1"/>
        <v>0</v>
      </c>
      <c r="L46" s="378"/>
      <c r="M46" s="257" t="str">
        <f t="shared" si="2"/>
        <v/>
      </c>
      <c r="N46" s="407">
        <f>IF($E$29&gt;28,$F$29,0)</f>
        <v>0</v>
      </c>
      <c r="O46" s="407"/>
      <c r="P46" s="380"/>
      <c r="Q46" s="381"/>
      <c r="T46" s="396" t="s">
        <v>166</v>
      </c>
      <c r="U46" s="396"/>
      <c r="W46" s="257">
        <f t="shared" ca="1" si="3"/>
        <v>46817</v>
      </c>
    </row>
    <row r="47" spans="1:49" s="91" customFormat="1" hidden="1" x14ac:dyDescent="0.3">
      <c r="A47" s="76"/>
      <c r="B47" s="413"/>
      <c r="C47" s="413"/>
      <c r="D47" s="413"/>
      <c r="E47" s="413"/>
      <c r="F47" s="413"/>
      <c r="G47" s="414"/>
      <c r="H47" s="414"/>
      <c r="I47" s="414"/>
      <c r="J47" s="85"/>
      <c r="K47" s="378">
        <f t="shared" si="1"/>
        <v>0</v>
      </c>
      <c r="L47" s="378"/>
      <c r="M47" s="257" t="str">
        <f t="shared" si="2"/>
        <v/>
      </c>
      <c r="N47" s="407">
        <f>IF($E$29&gt;29,$F$29,0)</f>
        <v>0</v>
      </c>
      <c r="O47" s="407"/>
      <c r="P47" s="380"/>
      <c r="Q47" s="381"/>
      <c r="T47" s="396" t="s">
        <v>167</v>
      </c>
      <c r="U47" s="396"/>
      <c r="W47" s="257">
        <f t="shared" ca="1" si="3"/>
        <v>46848</v>
      </c>
    </row>
    <row r="48" spans="1:49" s="91" customFormat="1" ht="15" hidden="1" customHeight="1" x14ac:dyDescent="0.3">
      <c r="A48" s="76"/>
      <c r="B48" s="413"/>
      <c r="C48" s="413"/>
      <c r="D48" s="413"/>
      <c r="E48" s="413"/>
      <c r="F48" s="413"/>
      <c r="G48" s="414"/>
      <c r="H48" s="414"/>
      <c r="I48" s="414"/>
      <c r="J48" s="85"/>
      <c r="K48" s="378">
        <f t="shared" si="1"/>
        <v>0</v>
      </c>
      <c r="L48" s="378"/>
      <c r="M48" s="257" t="str">
        <f t="shared" si="2"/>
        <v/>
      </c>
      <c r="N48" s="407">
        <f>IF($E$29&gt;30,$F$29,0)</f>
        <v>0</v>
      </c>
      <c r="O48" s="407"/>
      <c r="P48" s="380"/>
      <c r="Q48" s="381"/>
      <c r="T48" s="412" t="s">
        <v>168</v>
      </c>
      <c r="U48" s="412"/>
      <c r="W48" s="257">
        <f t="shared" ca="1" si="3"/>
        <v>46878</v>
      </c>
    </row>
    <row r="49" spans="1:23" s="91" customFormat="1" hidden="1" x14ac:dyDescent="0.3">
      <c r="A49" s="76"/>
      <c r="B49" s="413"/>
      <c r="C49" s="413"/>
      <c r="D49" s="413"/>
      <c r="E49" s="413"/>
      <c r="F49" s="413"/>
      <c r="G49" s="414"/>
      <c r="H49" s="414"/>
      <c r="I49" s="414"/>
      <c r="J49" s="214"/>
      <c r="K49" s="378">
        <f t="shared" si="1"/>
        <v>0</v>
      </c>
      <c r="L49" s="378"/>
      <c r="M49" s="257" t="str">
        <f t="shared" si="2"/>
        <v/>
      </c>
      <c r="N49" s="407">
        <f>IF($E$29&gt;31,$F$29,0)</f>
        <v>0</v>
      </c>
      <c r="O49" s="407"/>
      <c r="P49" s="380"/>
      <c r="Q49" s="381"/>
      <c r="T49" s="412" t="s">
        <v>169</v>
      </c>
      <c r="U49" s="412"/>
      <c r="W49" s="257">
        <f t="shared" ca="1" si="3"/>
        <v>46909</v>
      </c>
    </row>
    <row r="50" spans="1:23" s="91" customFormat="1" ht="15" hidden="1" customHeight="1" x14ac:dyDescent="0.3">
      <c r="A50" s="76"/>
      <c r="B50" s="413"/>
      <c r="C50" s="413"/>
      <c r="D50" s="413"/>
      <c r="E50" s="413"/>
      <c r="F50" s="413"/>
      <c r="G50" s="414"/>
      <c r="H50" s="414"/>
      <c r="I50" s="414"/>
      <c r="J50" s="214"/>
      <c r="K50" s="378">
        <f t="shared" si="1"/>
        <v>0</v>
      </c>
      <c r="L50" s="378"/>
      <c r="M50" s="257" t="str">
        <f t="shared" si="2"/>
        <v/>
      </c>
      <c r="N50" s="407">
        <f>IF($E$29&gt;32,$F$29,0)</f>
        <v>0</v>
      </c>
      <c r="O50" s="407"/>
      <c r="P50" s="380"/>
      <c r="Q50" s="381"/>
      <c r="T50" s="396" t="s">
        <v>170</v>
      </c>
      <c r="U50" s="396"/>
      <c r="W50" s="257">
        <f t="shared" ca="1" si="3"/>
        <v>46939</v>
      </c>
    </row>
    <row r="51" spans="1:23" s="91" customFormat="1" hidden="1" x14ac:dyDescent="0.3">
      <c r="A51" s="76"/>
      <c r="B51" s="413"/>
      <c r="C51" s="413"/>
      <c r="D51" s="413"/>
      <c r="E51" s="413"/>
      <c r="F51" s="413"/>
      <c r="G51" s="414"/>
      <c r="H51" s="414"/>
      <c r="I51" s="414"/>
      <c r="J51" s="214"/>
      <c r="K51" s="378">
        <f t="shared" si="1"/>
        <v>0</v>
      </c>
      <c r="L51" s="378"/>
      <c r="M51" s="257" t="str">
        <f t="shared" si="2"/>
        <v/>
      </c>
      <c r="N51" s="407">
        <f>IF($E$29&gt;33,$F$29,0)</f>
        <v>0</v>
      </c>
      <c r="O51" s="407"/>
      <c r="P51" s="380"/>
      <c r="Q51" s="381"/>
      <c r="T51" s="396" t="s">
        <v>171</v>
      </c>
      <c r="U51" s="396"/>
      <c r="W51" s="257">
        <f t="shared" ca="1" si="3"/>
        <v>46970</v>
      </c>
    </row>
    <row r="52" spans="1:23" s="91" customFormat="1" ht="15" hidden="1" customHeight="1" x14ac:dyDescent="0.3">
      <c r="A52" s="76"/>
      <c r="B52" s="413"/>
      <c r="C52" s="413"/>
      <c r="D52" s="413"/>
      <c r="E52" s="413"/>
      <c r="F52" s="413"/>
      <c r="G52" s="414"/>
      <c r="H52" s="414"/>
      <c r="I52" s="414"/>
      <c r="J52" s="76"/>
      <c r="K52" s="378">
        <f t="shared" si="1"/>
        <v>0</v>
      </c>
      <c r="L52" s="378"/>
      <c r="M52" s="257" t="str">
        <f t="shared" si="2"/>
        <v/>
      </c>
      <c r="N52" s="407">
        <f>IF($E$29&gt;34,$F$29,0)</f>
        <v>0</v>
      </c>
      <c r="O52" s="407"/>
      <c r="P52" s="380"/>
      <c r="Q52" s="381"/>
      <c r="T52" s="396" t="s">
        <v>172</v>
      </c>
      <c r="U52" s="396"/>
      <c r="W52" s="257">
        <f t="shared" ca="1" si="3"/>
        <v>47001</v>
      </c>
    </row>
    <row r="53" spans="1:23" s="91" customFormat="1" hidden="1" x14ac:dyDescent="0.3">
      <c r="A53" s="76"/>
      <c r="B53" s="413"/>
      <c r="C53" s="413"/>
      <c r="D53" s="413"/>
      <c r="E53" s="413"/>
      <c r="F53" s="413"/>
      <c r="G53" s="414"/>
      <c r="H53" s="414"/>
      <c r="I53" s="414"/>
      <c r="J53" s="76"/>
      <c r="K53" s="378">
        <f t="shared" si="1"/>
        <v>0</v>
      </c>
      <c r="L53" s="378"/>
      <c r="M53" s="257" t="str">
        <f t="shared" si="2"/>
        <v/>
      </c>
      <c r="N53" s="407">
        <f>IF($E$29&gt;35,$F$29,0)</f>
        <v>0</v>
      </c>
      <c r="O53" s="407"/>
      <c r="P53" s="380"/>
      <c r="Q53" s="381"/>
      <c r="T53" s="396" t="s">
        <v>173</v>
      </c>
      <c r="U53" s="396"/>
      <c r="W53" s="257">
        <f t="shared" ca="1" si="3"/>
        <v>47031</v>
      </c>
    </row>
    <row r="54" spans="1:23" s="91" customFormat="1" ht="15" hidden="1" customHeight="1" x14ac:dyDescent="0.3">
      <c r="A54" s="76"/>
      <c r="B54" s="413"/>
      <c r="C54" s="413"/>
      <c r="D54" s="413"/>
      <c r="E54" s="413"/>
      <c r="F54" s="413"/>
      <c r="G54" s="414"/>
      <c r="H54" s="414"/>
      <c r="I54" s="414"/>
      <c r="J54" s="76"/>
      <c r="K54" s="378">
        <f t="shared" si="1"/>
        <v>0</v>
      </c>
      <c r="L54" s="378"/>
      <c r="M54" s="257" t="str">
        <f t="shared" si="2"/>
        <v/>
      </c>
      <c r="N54" s="407">
        <f>IF($E$29&gt;36,$F$29,0)</f>
        <v>0</v>
      </c>
      <c r="O54" s="407"/>
      <c r="P54" s="380"/>
      <c r="Q54" s="381"/>
      <c r="T54" s="396" t="s">
        <v>174</v>
      </c>
      <c r="U54" s="396"/>
      <c r="W54" s="257">
        <f ca="1">IF(AND(DAY(W53)&gt;=6,DAY(W53)&lt;=20),DATE(YEAR(W53),MONTH(W53)+1,DAY(20)),IF(AND(DAY(W53)&gt;=21,DAY(W53)&lt;=30),DATE(YEAR(W53),MONTH(W53)+1,IF(DAY(EOMONTH(W53,1))&lt;30,DAY(EOMONTH(W53,1)),DAY(30))),DATE(YEAR(W53),MONTH(W53)+1,DAY(5))))</f>
        <v>47062</v>
      </c>
    </row>
    <row r="55" spans="1:23" s="91" customFormat="1" hidden="1" x14ac:dyDescent="0.3">
      <c r="A55" s="76"/>
      <c r="B55" s="413"/>
      <c r="C55" s="413"/>
      <c r="D55" s="413"/>
      <c r="E55" s="413"/>
      <c r="F55" s="413"/>
      <c r="G55" s="414"/>
      <c r="H55" s="414"/>
      <c r="I55" s="414"/>
      <c r="J55" s="76"/>
      <c r="K55" s="378">
        <f t="shared" si="1"/>
        <v>0</v>
      </c>
      <c r="L55" s="378"/>
      <c r="M55" s="257" t="str">
        <f t="shared" si="2"/>
        <v/>
      </c>
      <c r="N55" s="407">
        <f>IF($E$29&gt;37,$F$29,0)</f>
        <v>0</v>
      </c>
      <c r="O55" s="407"/>
      <c r="P55" s="380"/>
      <c r="Q55" s="381"/>
      <c r="T55" s="396" t="s">
        <v>175</v>
      </c>
      <c r="U55" s="396"/>
      <c r="W55" s="257">
        <f t="shared" ca="1" si="3"/>
        <v>47092</v>
      </c>
    </row>
    <row r="56" spans="1:23" s="91" customFormat="1" ht="15" hidden="1" customHeight="1" x14ac:dyDescent="0.3">
      <c r="A56" s="76"/>
      <c r="B56" s="413"/>
      <c r="C56" s="413"/>
      <c r="D56" s="413"/>
      <c r="E56" s="413"/>
      <c r="F56" s="413"/>
      <c r="G56" s="414"/>
      <c r="H56" s="414"/>
      <c r="I56" s="414"/>
      <c r="J56" s="76"/>
      <c r="K56" s="378">
        <f t="shared" si="1"/>
        <v>0</v>
      </c>
      <c r="L56" s="378"/>
      <c r="M56" s="257" t="str">
        <f t="shared" si="2"/>
        <v/>
      </c>
      <c r="N56" s="407">
        <f>IF($E$29&gt;38,$F$29,0)</f>
        <v>0</v>
      </c>
      <c r="O56" s="407"/>
      <c r="P56" s="380"/>
      <c r="Q56" s="381"/>
      <c r="T56" s="396" t="s">
        <v>176</v>
      </c>
      <c r="U56" s="396"/>
      <c r="W56" s="257">
        <f t="shared" ca="1" si="3"/>
        <v>47123</v>
      </c>
    </row>
    <row r="57" spans="1:23" s="91" customFormat="1" hidden="1" x14ac:dyDescent="0.3">
      <c r="A57" s="76"/>
      <c r="B57" s="413"/>
      <c r="C57" s="413"/>
      <c r="D57" s="413"/>
      <c r="E57" s="413"/>
      <c r="F57" s="413"/>
      <c r="G57" s="414"/>
      <c r="H57" s="414"/>
      <c r="I57" s="414"/>
      <c r="J57" s="214"/>
      <c r="K57" s="378">
        <f t="shared" si="1"/>
        <v>0</v>
      </c>
      <c r="L57" s="378"/>
      <c r="M57" s="257" t="str">
        <f t="shared" si="2"/>
        <v/>
      </c>
      <c r="N57" s="407">
        <f>IF($E$29&gt;39,$F$29,0)</f>
        <v>0</v>
      </c>
      <c r="O57" s="407"/>
      <c r="P57" s="380"/>
      <c r="Q57" s="381"/>
      <c r="T57" s="396" t="s">
        <v>177</v>
      </c>
      <c r="U57" s="396"/>
      <c r="W57" s="257">
        <f t="shared" ca="1" si="3"/>
        <v>47154</v>
      </c>
    </row>
    <row r="58" spans="1:23" s="91" customFormat="1" ht="12.75" hidden="1" customHeight="1" x14ac:dyDescent="0.3">
      <c r="A58" s="76"/>
      <c r="B58" s="413"/>
      <c r="C58" s="413"/>
      <c r="D58" s="413"/>
      <c r="E58" s="413"/>
      <c r="F58" s="413"/>
      <c r="G58" s="414"/>
      <c r="H58" s="414"/>
      <c r="I58" s="414"/>
      <c r="J58" s="214"/>
      <c r="K58" s="378">
        <f t="shared" si="1"/>
        <v>0</v>
      </c>
      <c r="L58" s="378"/>
      <c r="M58" s="257" t="str">
        <f t="shared" si="2"/>
        <v/>
      </c>
      <c r="N58" s="407">
        <f>IF($E$29&gt;40,$F$29,0)</f>
        <v>0</v>
      </c>
      <c r="O58" s="407"/>
      <c r="P58" s="380"/>
      <c r="Q58" s="381"/>
      <c r="T58" s="396" t="s">
        <v>178</v>
      </c>
      <c r="U58" s="396"/>
      <c r="W58" s="257">
        <f t="shared" ca="1" si="3"/>
        <v>47182</v>
      </c>
    </row>
    <row r="59" spans="1:23" s="91" customFormat="1" hidden="1" x14ac:dyDescent="0.3">
      <c r="A59" s="76"/>
      <c r="B59" s="223"/>
      <c r="C59" s="76"/>
      <c r="D59" s="76"/>
      <c r="E59" s="76"/>
      <c r="F59" s="76"/>
      <c r="G59" s="76"/>
      <c r="H59" s="76"/>
      <c r="I59" s="76"/>
      <c r="J59" s="214"/>
      <c r="K59" s="378">
        <f t="shared" si="1"/>
        <v>0</v>
      </c>
      <c r="L59" s="378"/>
      <c r="M59" s="257" t="str">
        <f t="shared" si="2"/>
        <v/>
      </c>
      <c r="N59" s="407">
        <f>IF($E$29&gt;41,$F$29,0)</f>
        <v>0</v>
      </c>
      <c r="O59" s="407"/>
      <c r="P59" s="380"/>
      <c r="Q59" s="381"/>
      <c r="T59" s="396" t="s">
        <v>179</v>
      </c>
      <c r="U59" s="396"/>
      <c r="W59" s="257">
        <f t="shared" ca="1" si="3"/>
        <v>47213</v>
      </c>
    </row>
    <row r="60" spans="1:23" s="91" customFormat="1" hidden="1" x14ac:dyDescent="0.3">
      <c r="A60" s="76"/>
      <c r="C60" s="288"/>
      <c r="D60" s="417"/>
      <c r="E60" s="417"/>
      <c r="F60" s="417"/>
      <c r="G60" s="76"/>
      <c r="H60" s="76"/>
      <c r="I60" s="76"/>
      <c r="J60" s="214"/>
      <c r="K60" s="378">
        <f t="shared" si="1"/>
        <v>0</v>
      </c>
      <c r="L60" s="378"/>
      <c r="M60" s="257" t="str">
        <f t="shared" si="2"/>
        <v/>
      </c>
      <c r="N60" s="407">
        <f>IF($E$29&gt;42,$F$29,0)</f>
        <v>0</v>
      </c>
      <c r="O60" s="407"/>
      <c r="P60" s="380"/>
      <c r="Q60" s="381"/>
      <c r="T60" s="396" t="s">
        <v>180</v>
      </c>
      <c r="U60" s="396"/>
      <c r="W60" s="257">
        <f t="shared" ca="1" si="3"/>
        <v>47243</v>
      </c>
    </row>
    <row r="61" spans="1:23" s="91" customFormat="1" hidden="1" x14ac:dyDescent="0.3">
      <c r="A61" s="76"/>
      <c r="B61" s="288"/>
      <c r="C61" s="76"/>
      <c r="D61" s="289"/>
      <c r="E61" s="289"/>
      <c r="F61" s="76"/>
      <c r="G61" s="76"/>
      <c r="H61" s="76"/>
      <c r="I61" s="76"/>
      <c r="J61" s="214"/>
      <c r="K61" s="378">
        <f t="shared" si="1"/>
        <v>0</v>
      </c>
      <c r="L61" s="378"/>
      <c r="M61" s="257" t="str">
        <f t="shared" si="2"/>
        <v/>
      </c>
      <c r="N61" s="407">
        <f>IF($E$29&gt;43,$F$29,0)</f>
        <v>0</v>
      </c>
      <c r="O61" s="407"/>
      <c r="P61" s="380"/>
      <c r="Q61" s="381"/>
      <c r="T61" s="396" t="s">
        <v>181</v>
      </c>
      <c r="U61" s="396"/>
      <c r="W61" s="257">
        <f t="shared" ca="1" si="3"/>
        <v>47274</v>
      </c>
    </row>
    <row r="62" spans="1:23" s="91" customFormat="1" hidden="1" x14ac:dyDescent="0.3">
      <c r="A62" s="76"/>
      <c r="B62" s="288"/>
      <c r="C62" s="76"/>
      <c r="D62" s="289"/>
      <c r="E62" s="289"/>
      <c r="F62" s="76"/>
      <c r="G62" s="76"/>
      <c r="H62" s="76"/>
      <c r="I62" s="76"/>
      <c r="J62" s="214"/>
      <c r="K62" s="378">
        <f t="shared" si="1"/>
        <v>0</v>
      </c>
      <c r="L62" s="378"/>
      <c r="M62" s="257" t="str">
        <f t="shared" si="2"/>
        <v/>
      </c>
      <c r="N62" s="407">
        <f>IF($E$29&gt;44,$F$29,0)</f>
        <v>0</v>
      </c>
      <c r="O62" s="407"/>
      <c r="P62" s="127"/>
      <c r="Q62" s="127"/>
      <c r="T62" s="396" t="s">
        <v>182</v>
      </c>
      <c r="U62" s="396"/>
      <c r="W62" s="257">
        <f ca="1">IF(AND(DAY(W61)&gt;=6,DAY(W61)&lt;=20),DATE(YEAR(W61),MONTH(W61)+1,DAY(20)),IF(AND(DAY(W61)&gt;=21,DAY(W61)&lt;=30),DATE(YEAR(W61),MONTH(W61)+1,IF(DAY(EOMONTH(W61,1))&lt;30,DAY(EOMONTH(W61,1)),DAY(30))),DATE(YEAR(W61),MONTH(W61)+1,DAY(5))))</f>
        <v>47304</v>
      </c>
    </row>
    <row r="63" spans="1:23" s="91" customFormat="1" hidden="1" x14ac:dyDescent="0.3">
      <c r="A63" s="76"/>
      <c r="B63" s="288"/>
      <c r="C63" s="76"/>
      <c r="D63" s="289"/>
      <c r="E63" s="289"/>
      <c r="F63" s="76"/>
      <c r="G63" s="76"/>
      <c r="H63" s="76"/>
      <c r="I63" s="76"/>
      <c r="J63" s="214"/>
      <c r="K63" s="380">
        <f t="shared" si="1"/>
        <v>0</v>
      </c>
      <c r="L63" s="381"/>
      <c r="M63" s="257" t="str">
        <f t="shared" si="2"/>
        <v/>
      </c>
      <c r="N63" s="415">
        <f>IF($E$29&gt;45,$F$29,0)</f>
        <v>0</v>
      </c>
      <c r="O63" s="416"/>
      <c r="P63" s="127"/>
      <c r="Q63" s="127"/>
      <c r="T63" s="396" t="s">
        <v>183</v>
      </c>
      <c r="U63" s="396"/>
    </row>
    <row r="64" spans="1:23" s="91" customFormat="1" x14ac:dyDescent="0.3">
      <c r="A64" s="76"/>
      <c r="B64" s="288"/>
      <c r="C64" s="76"/>
      <c r="D64" s="289"/>
      <c r="E64" s="289"/>
      <c r="F64" s="76"/>
      <c r="G64" s="76"/>
      <c r="H64" s="76"/>
      <c r="I64" s="76"/>
      <c r="J64" s="214"/>
      <c r="K64" s="424" t="s">
        <v>184</v>
      </c>
      <c r="L64" s="424"/>
      <c r="M64" s="290">
        <f ca="1">IF(DAY(W17)=31,Y19,AA19)</f>
        <v>46331</v>
      </c>
      <c r="N64" s="425">
        <f>F31</f>
        <v>8356861.5680000009</v>
      </c>
      <c r="O64" s="425"/>
      <c r="P64" s="426"/>
      <c r="Q64" s="427"/>
    </row>
    <row r="65" spans="1:17" s="91" customFormat="1" x14ac:dyDescent="0.3">
      <c r="A65" s="76"/>
      <c r="B65" s="288"/>
      <c r="C65" s="76"/>
      <c r="D65" s="289"/>
      <c r="E65" s="289"/>
      <c r="F65" s="76"/>
      <c r="G65" s="76"/>
      <c r="H65" s="76"/>
      <c r="I65" s="76"/>
      <c r="J65" s="214"/>
      <c r="K65" s="428"/>
      <c r="L65" s="428"/>
      <c r="M65" s="210"/>
      <c r="N65" s="429"/>
      <c r="O65" s="429"/>
      <c r="P65" s="291"/>
      <c r="Q65" s="79"/>
    </row>
    <row r="66" spans="1:17" s="91" customFormat="1" x14ac:dyDescent="0.3">
      <c r="A66" s="76"/>
      <c r="J66" s="214"/>
      <c r="L66" s="93"/>
    </row>
    <row r="67" spans="1:17" s="91" customFormat="1" ht="12" customHeight="1" x14ac:dyDescent="0.3">
      <c r="A67" s="76"/>
      <c r="B67" s="79" t="s">
        <v>185</v>
      </c>
      <c r="C67" s="76"/>
      <c r="D67" s="76"/>
      <c r="E67" s="76"/>
      <c r="F67" s="79" t="s">
        <v>186</v>
      </c>
      <c r="G67" s="76"/>
      <c r="H67" s="76"/>
      <c r="I67" s="76"/>
      <c r="J67" s="214"/>
      <c r="K67" s="79" t="s">
        <v>185</v>
      </c>
      <c r="L67" s="76"/>
      <c r="M67" s="76"/>
      <c r="N67" s="76"/>
      <c r="O67" s="79" t="s">
        <v>186</v>
      </c>
      <c r="P67" s="76"/>
      <c r="Q67" s="76"/>
    </row>
    <row r="68" spans="1:17" s="91" customFormat="1" ht="12" customHeight="1" x14ac:dyDescent="0.3">
      <c r="A68" s="76"/>
      <c r="B68" s="76"/>
      <c r="C68" s="76"/>
      <c r="D68" s="88"/>
      <c r="E68" s="76"/>
      <c r="F68" s="76"/>
      <c r="G68" s="76"/>
      <c r="H68" s="76"/>
      <c r="I68" s="76"/>
      <c r="J68" s="214"/>
      <c r="K68" s="76"/>
      <c r="L68" s="76"/>
      <c r="M68" s="88"/>
      <c r="N68" s="76"/>
      <c r="O68" s="76"/>
      <c r="P68" s="76"/>
      <c r="Q68" s="76"/>
    </row>
    <row r="69" spans="1:17" s="91" customFormat="1" ht="12" customHeight="1" x14ac:dyDescent="0.3">
      <c r="A69" s="76"/>
      <c r="B69" s="76"/>
      <c r="C69" s="76"/>
      <c r="D69" s="88"/>
      <c r="E69" s="76"/>
      <c r="F69" s="76"/>
      <c r="G69" s="76"/>
      <c r="H69" s="76"/>
      <c r="I69" s="76"/>
      <c r="J69" s="214"/>
      <c r="K69" s="76"/>
      <c r="L69" s="76"/>
      <c r="M69" s="88"/>
      <c r="N69" s="76"/>
      <c r="O69" s="76"/>
      <c r="P69" s="76"/>
      <c r="Q69" s="76"/>
    </row>
    <row r="70" spans="1:17" s="91" customFormat="1" ht="12" customHeight="1" x14ac:dyDescent="0.3">
      <c r="A70" s="76"/>
      <c r="B70" s="420"/>
      <c r="C70" s="420"/>
      <c r="D70" s="420"/>
      <c r="E70" s="79"/>
      <c r="F70" s="292">
        <f>[3]FORM!I28</f>
        <v>0</v>
      </c>
      <c r="G70" s="292"/>
      <c r="H70" s="292"/>
      <c r="I70" s="292"/>
      <c r="J70" s="214"/>
      <c r="K70" s="420">
        <f>B70</f>
        <v>0</v>
      </c>
      <c r="L70" s="420"/>
      <c r="M70" s="420"/>
      <c r="N70" s="79"/>
      <c r="O70" s="421"/>
      <c r="P70" s="421"/>
      <c r="Q70" s="421"/>
    </row>
    <row r="71" spans="1:17" s="91" customFormat="1" ht="12" customHeight="1" x14ac:dyDescent="0.3">
      <c r="A71" s="76"/>
      <c r="B71" s="90" t="s">
        <v>187</v>
      </c>
      <c r="C71" s="293"/>
      <c r="D71" s="293"/>
      <c r="E71" s="76"/>
      <c r="F71" s="294" t="s">
        <v>188</v>
      </c>
      <c r="G71" s="294"/>
      <c r="H71" s="294"/>
      <c r="I71" s="89"/>
      <c r="J71" s="214"/>
      <c r="K71" s="90" t="s">
        <v>187</v>
      </c>
      <c r="L71" s="422"/>
      <c r="M71" s="422"/>
      <c r="N71" s="76"/>
      <c r="O71" s="423" t="s">
        <v>188</v>
      </c>
      <c r="P71" s="423"/>
      <c r="Q71" s="423"/>
    </row>
    <row r="72" spans="1:17" s="91" customFormat="1" ht="12" customHeight="1" x14ac:dyDescent="0.3">
      <c r="A72" s="76"/>
      <c r="B72" s="223"/>
      <c r="C72" s="76"/>
      <c r="D72" s="76"/>
      <c r="E72" s="76"/>
      <c r="F72" s="76"/>
      <c r="G72" s="76"/>
      <c r="H72" s="76"/>
      <c r="I72" s="76"/>
      <c r="J72" s="214"/>
    </row>
    <row r="73" spans="1:17" s="91" customFormat="1" ht="12" customHeight="1" x14ac:dyDescent="0.3">
      <c r="A73" s="76"/>
      <c r="B73" s="223"/>
      <c r="C73" s="76"/>
      <c r="D73" s="76"/>
      <c r="E73" s="76"/>
      <c r="F73" s="76"/>
      <c r="G73" s="76"/>
      <c r="H73" s="76"/>
      <c r="I73" s="76"/>
      <c r="J73" s="214"/>
      <c r="K73" s="157"/>
      <c r="L73" s="76"/>
      <c r="M73" s="78"/>
      <c r="N73" s="76"/>
      <c r="O73" s="76"/>
      <c r="P73" s="76"/>
      <c r="Q73" s="76"/>
    </row>
    <row r="74" spans="1:17" s="91" customFormat="1" ht="12" customHeight="1" x14ac:dyDescent="0.3">
      <c r="A74" s="76"/>
      <c r="B74" s="223"/>
      <c r="C74" s="76"/>
      <c r="D74" s="76"/>
      <c r="E74" s="76"/>
      <c r="F74" s="76"/>
      <c r="G74" s="76"/>
      <c r="H74" s="76"/>
      <c r="I74" s="76"/>
      <c r="J74" s="214"/>
      <c r="K74" s="157"/>
      <c r="L74" s="76"/>
      <c r="M74" s="78"/>
      <c r="N74" s="76"/>
      <c r="O74" s="76"/>
      <c r="P74" s="76"/>
      <c r="Q74" s="76"/>
    </row>
    <row r="75" spans="1:17" s="91" customFormat="1" ht="12" customHeight="1" x14ac:dyDescent="0.3">
      <c r="A75" s="76"/>
      <c r="B75" s="223"/>
      <c r="C75" s="76"/>
      <c r="D75" s="76"/>
      <c r="E75" s="76"/>
      <c r="F75" s="76"/>
      <c r="G75" s="76"/>
      <c r="H75" s="76"/>
      <c r="I75" s="76"/>
      <c r="J75" s="214"/>
      <c r="K75" s="157"/>
      <c r="L75" s="76"/>
      <c r="M75" s="78"/>
      <c r="N75" s="76"/>
      <c r="O75" s="76"/>
      <c r="P75" s="76"/>
      <c r="Q75" s="76"/>
    </row>
    <row r="76" spans="1:17" s="91" customFormat="1" ht="12" customHeight="1" x14ac:dyDescent="0.3">
      <c r="A76" s="76"/>
      <c r="B76" s="223"/>
      <c r="C76" s="76"/>
      <c r="D76" s="88"/>
      <c r="E76" s="76"/>
      <c r="F76" s="76"/>
      <c r="G76" s="76"/>
      <c r="H76" s="76"/>
      <c r="I76" s="76"/>
      <c r="J76" s="214"/>
      <c r="K76" s="157"/>
      <c r="L76" s="76"/>
      <c r="M76" s="78"/>
      <c r="N76" s="76"/>
      <c r="O76" s="76"/>
      <c r="P76" s="76"/>
      <c r="Q76" s="76"/>
    </row>
    <row r="77" spans="1:17" s="91" customFormat="1" ht="12" customHeight="1" x14ac:dyDescent="0.3">
      <c r="A77" s="76"/>
      <c r="B77" s="223"/>
      <c r="C77" s="76"/>
      <c r="D77" s="88"/>
      <c r="E77" s="76"/>
      <c r="F77" s="76"/>
      <c r="G77" s="76"/>
      <c r="H77" s="76"/>
      <c r="I77" s="76"/>
      <c r="J77" s="214"/>
      <c r="K77" s="157"/>
      <c r="L77" s="76"/>
      <c r="M77" s="78"/>
      <c r="N77" s="76"/>
      <c r="O77" s="76"/>
      <c r="P77" s="76"/>
      <c r="Q77" s="76"/>
    </row>
    <row r="78" spans="1:17" s="91" customFormat="1" ht="12" customHeight="1" x14ac:dyDescent="0.3">
      <c r="A78" s="76"/>
      <c r="B78" s="223"/>
      <c r="C78" s="76"/>
      <c r="D78" s="88"/>
      <c r="E78" s="76"/>
      <c r="F78" s="76"/>
      <c r="G78" s="76"/>
      <c r="H78" s="76"/>
      <c r="I78" s="76"/>
      <c r="J78" s="214"/>
      <c r="K78" s="157"/>
      <c r="L78" s="76"/>
      <c r="M78" s="78"/>
      <c r="N78" s="76"/>
      <c r="O78" s="76"/>
      <c r="P78" s="76"/>
      <c r="Q78" s="76"/>
    </row>
    <row r="79" spans="1:17" s="91" customFormat="1" ht="12" customHeight="1" x14ac:dyDescent="0.3">
      <c r="A79" s="76"/>
      <c r="B79" s="223"/>
      <c r="C79" s="76"/>
      <c r="D79" s="76"/>
      <c r="E79" s="76"/>
      <c r="F79" s="76"/>
      <c r="G79" s="76"/>
      <c r="H79" s="76"/>
      <c r="I79" s="76"/>
      <c r="J79" s="214"/>
      <c r="K79" s="157"/>
      <c r="L79" s="76"/>
      <c r="M79" s="78"/>
      <c r="N79" s="76"/>
      <c r="O79" s="76"/>
      <c r="P79" s="76"/>
      <c r="Q79" s="76"/>
    </row>
    <row r="80" spans="1:17" s="91" customFormat="1" ht="12" customHeight="1" x14ac:dyDescent="0.3">
      <c r="A80" s="76"/>
      <c r="B80" s="223"/>
      <c r="C80" s="76"/>
      <c r="D80" s="76"/>
      <c r="E80" s="76"/>
      <c r="F80" s="76"/>
      <c r="G80" s="76"/>
      <c r="H80" s="76"/>
      <c r="I80" s="76"/>
      <c r="J80" s="214"/>
      <c r="K80" s="157"/>
      <c r="L80" s="76"/>
      <c r="M80" s="78"/>
      <c r="N80" s="76"/>
      <c r="O80" s="76"/>
      <c r="P80" s="76"/>
      <c r="Q80" s="76"/>
    </row>
    <row r="81" spans="1:17" s="91" customFormat="1" ht="12" customHeight="1" x14ac:dyDescent="0.3">
      <c r="A81" s="76"/>
      <c r="B81" s="223"/>
      <c r="C81" s="76"/>
      <c r="D81" s="76"/>
      <c r="E81" s="76"/>
      <c r="F81" s="76"/>
      <c r="G81" s="76"/>
      <c r="H81" s="76"/>
      <c r="I81" s="76"/>
      <c r="J81" s="214"/>
      <c r="K81" s="157"/>
      <c r="L81" s="76"/>
      <c r="M81" s="78"/>
      <c r="N81" s="76"/>
      <c r="O81" s="76"/>
      <c r="P81" s="76"/>
      <c r="Q81" s="76"/>
    </row>
    <row r="82" spans="1:17" s="91" customFormat="1" ht="12" customHeight="1" x14ac:dyDescent="0.3">
      <c r="A82" s="76"/>
      <c r="B82" s="223"/>
      <c r="C82" s="76"/>
      <c r="D82" s="76"/>
      <c r="E82" s="76"/>
      <c r="F82" s="76"/>
      <c r="G82" s="76"/>
      <c r="H82" s="76"/>
      <c r="I82" s="76"/>
      <c r="J82" s="214"/>
      <c r="K82" s="157"/>
      <c r="L82" s="76"/>
      <c r="M82" s="78"/>
      <c r="N82" s="76"/>
      <c r="O82" s="76"/>
      <c r="P82" s="76"/>
      <c r="Q82" s="76"/>
    </row>
    <row r="83" spans="1:17" s="91" customFormat="1" ht="12" customHeight="1" x14ac:dyDescent="0.3">
      <c r="A83" s="76"/>
      <c r="B83" s="223"/>
      <c r="C83" s="76"/>
      <c r="D83" s="76"/>
      <c r="E83" s="76"/>
      <c r="F83" s="76"/>
      <c r="G83" s="76"/>
      <c r="H83" s="76"/>
      <c r="I83" s="76"/>
      <c r="J83" s="214"/>
      <c r="K83" s="157"/>
      <c r="L83" s="76"/>
      <c r="M83" s="78"/>
      <c r="N83" s="76"/>
      <c r="O83" s="76"/>
      <c r="P83" s="76"/>
      <c r="Q83" s="76"/>
    </row>
    <row r="84" spans="1:17" s="91" customFormat="1" ht="12" customHeight="1" x14ac:dyDescent="0.3">
      <c r="A84" s="76"/>
      <c r="B84" s="223"/>
      <c r="C84" s="76"/>
      <c r="D84" s="76"/>
      <c r="E84" s="76"/>
      <c r="F84" s="76"/>
      <c r="G84" s="76"/>
      <c r="H84" s="76"/>
      <c r="I84" s="76"/>
      <c r="J84" s="214"/>
      <c r="K84" s="157"/>
      <c r="L84" s="76"/>
      <c r="M84" s="78"/>
      <c r="N84" s="76"/>
      <c r="O84" s="76"/>
      <c r="P84" s="76"/>
      <c r="Q84" s="76"/>
    </row>
    <row r="85" spans="1:17" s="91" customFormat="1" ht="12" customHeight="1" x14ac:dyDescent="0.3">
      <c r="A85" s="76"/>
      <c r="B85" s="223"/>
      <c r="C85" s="76"/>
      <c r="D85" s="76"/>
      <c r="E85" s="76"/>
      <c r="F85" s="76"/>
      <c r="G85" s="76"/>
      <c r="H85" s="76"/>
      <c r="I85" s="76"/>
      <c r="J85" s="214"/>
      <c r="K85" s="157"/>
      <c r="L85" s="76"/>
      <c r="M85" s="78"/>
      <c r="N85" s="76"/>
      <c r="O85" s="76"/>
      <c r="P85" s="76"/>
      <c r="Q85" s="76"/>
    </row>
    <row r="86" spans="1:17" s="91" customFormat="1" ht="12" customHeight="1" x14ac:dyDescent="0.3">
      <c r="A86" s="76"/>
      <c r="B86" s="223"/>
      <c r="C86" s="76"/>
      <c r="D86" s="76"/>
      <c r="E86" s="76"/>
      <c r="F86" s="76"/>
      <c r="G86" s="76"/>
      <c r="H86" s="76"/>
      <c r="I86" s="76"/>
      <c r="J86" s="214"/>
      <c r="K86" s="157"/>
      <c r="L86" s="76"/>
      <c r="M86" s="78"/>
      <c r="N86" s="76"/>
      <c r="O86" s="76"/>
      <c r="P86" s="76"/>
      <c r="Q86" s="76"/>
    </row>
    <row r="87" spans="1:17" s="91" customFormat="1" ht="12" customHeight="1" x14ac:dyDescent="0.3">
      <c r="A87" s="76"/>
      <c r="B87" s="223"/>
      <c r="C87" s="76"/>
      <c r="D87" s="76"/>
      <c r="E87" s="76"/>
      <c r="F87" s="76"/>
      <c r="G87" s="76"/>
      <c r="H87" s="76"/>
      <c r="I87" s="76"/>
      <c r="J87" s="214"/>
      <c r="K87" s="157"/>
      <c r="L87" s="76"/>
      <c r="M87" s="78"/>
      <c r="N87" s="76"/>
      <c r="O87" s="76"/>
      <c r="P87" s="76"/>
      <c r="Q87" s="76"/>
    </row>
    <row r="88" spans="1:17" s="91" customFormat="1" x14ac:dyDescent="0.3">
      <c r="A88" s="76"/>
      <c r="B88" s="223"/>
      <c r="C88" s="76"/>
      <c r="D88" s="76"/>
      <c r="E88" s="76"/>
      <c r="F88" s="76"/>
      <c r="G88" s="76"/>
      <c r="H88" s="76"/>
      <c r="I88" s="76"/>
      <c r="J88" s="214"/>
      <c r="K88" s="157"/>
      <c r="L88" s="76"/>
      <c r="M88" s="78"/>
      <c r="N88" s="76"/>
      <c r="O88" s="76"/>
      <c r="P88" s="76"/>
      <c r="Q88" s="76"/>
    </row>
    <row r="89" spans="1:17" s="91" customFormat="1" ht="12" customHeight="1" x14ac:dyDescent="0.3">
      <c r="A89" s="76"/>
      <c r="B89" s="223"/>
      <c r="C89" s="76"/>
      <c r="D89" s="76"/>
      <c r="E89" s="76"/>
      <c r="F89" s="76"/>
      <c r="G89" s="76"/>
      <c r="H89" s="76"/>
      <c r="I89" s="76"/>
      <c r="J89" s="214"/>
      <c r="K89" s="157"/>
      <c r="L89" s="76"/>
      <c r="M89" s="78"/>
      <c r="N89" s="76"/>
      <c r="O89" s="76"/>
      <c r="P89" s="76"/>
      <c r="Q89" s="76"/>
    </row>
    <row r="90" spans="1:17" s="91" customFormat="1" ht="12" customHeight="1" x14ac:dyDescent="0.3">
      <c r="A90" s="76"/>
      <c r="B90" s="223"/>
      <c r="C90" s="76"/>
      <c r="D90" s="76"/>
      <c r="E90" s="76"/>
      <c r="F90" s="76"/>
      <c r="G90" s="76"/>
      <c r="H90" s="76"/>
      <c r="I90" s="76"/>
      <c r="J90" s="214"/>
      <c r="K90" s="157"/>
      <c r="L90" s="76"/>
      <c r="M90" s="78"/>
      <c r="N90" s="76"/>
      <c r="O90" s="76"/>
      <c r="P90" s="76"/>
      <c r="Q90" s="76"/>
    </row>
    <row r="91" spans="1:17" s="91" customFormat="1" ht="12" customHeight="1" x14ac:dyDescent="0.3">
      <c r="A91" s="76"/>
      <c r="B91" s="223"/>
      <c r="C91" s="76"/>
      <c r="D91" s="76"/>
      <c r="E91" s="76"/>
      <c r="F91" s="76"/>
      <c r="G91" s="76"/>
      <c r="H91" s="76"/>
      <c r="I91" s="76"/>
      <c r="J91" s="214"/>
      <c r="K91" s="157"/>
      <c r="L91" s="76"/>
      <c r="M91" s="78"/>
      <c r="N91" s="76"/>
      <c r="O91" s="76"/>
      <c r="P91" s="76"/>
      <c r="Q91" s="76"/>
    </row>
    <row r="92" spans="1:17" s="91" customFormat="1" ht="12" customHeight="1" x14ac:dyDescent="0.3">
      <c r="A92" s="76"/>
      <c r="B92" s="223"/>
      <c r="C92" s="76"/>
      <c r="D92" s="76"/>
      <c r="E92" s="76"/>
      <c r="F92" s="76"/>
      <c r="G92" s="76"/>
      <c r="H92" s="76"/>
      <c r="I92" s="76"/>
      <c r="J92" s="214"/>
      <c r="K92" s="157"/>
      <c r="L92" s="76"/>
      <c r="M92" s="78"/>
      <c r="N92" s="76"/>
      <c r="O92" s="76"/>
      <c r="P92" s="76"/>
      <c r="Q92" s="76"/>
    </row>
    <row r="93" spans="1:17" s="91" customFormat="1" ht="12" customHeight="1" x14ac:dyDescent="0.3">
      <c r="A93" s="76"/>
      <c r="B93" s="223"/>
      <c r="C93" s="76"/>
      <c r="D93" s="76"/>
      <c r="E93" s="76"/>
      <c r="F93" s="76"/>
      <c r="G93" s="76"/>
      <c r="H93" s="76"/>
      <c r="I93" s="76"/>
      <c r="J93" s="214"/>
      <c r="K93" s="157"/>
      <c r="L93" s="76"/>
      <c r="M93" s="78"/>
      <c r="N93" s="76"/>
      <c r="O93" s="76"/>
      <c r="P93" s="76"/>
      <c r="Q93" s="76"/>
    </row>
    <row r="94" spans="1:17" s="91" customFormat="1" ht="12" customHeight="1" x14ac:dyDescent="0.3">
      <c r="A94" s="76"/>
      <c r="B94" s="223"/>
      <c r="C94" s="76"/>
      <c r="D94" s="76"/>
      <c r="E94" s="76"/>
      <c r="F94" s="76"/>
      <c r="G94" s="76"/>
      <c r="H94" s="76"/>
      <c r="I94" s="76"/>
      <c r="J94" s="214"/>
      <c r="K94" s="157"/>
      <c r="L94" s="76"/>
      <c r="M94" s="78"/>
      <c r="N94" s="76"/>
      <c r="O94" s="76"/>
      <c r="P94" s="76"/>
      <c r="Q94" s="76"/>
    </row>
    <row r="95" spans="1:17" s="91" customFormat="1" ht="12" customHeight="1" x14ac:dyDescent="0.3">
      <c r="A95" s="76"/>
      <c r="B95" s="223"/>
      <c r="C95" s="76"/>
      <c r="D95" s="76"/>
      <c r="E95" s="76"/>
      <c r="F95" s="76"/>
      <c r="G95" s="76"/>
      <c r="H95" s="76"/>
      <c r="I95" s="76"/>
      <c r="J95" s="214"/>
      <c r="K95" s="157"/>
      <c r="L95" s="76"/>
      <c r="M95" s="78"/>
      <c r="N95" s="76"/>
      <c r="O95" s="76"/>
      <c r="P95" s="76"/>
      <c r="Q95" s="76"/>
    </row>
    <row r="96" spans="1:17" s="91" customFormat="1" ht="12" customHeight="1" x14ac:dyDescent="0.3">
      <c r="A96" s="76"/>
      <c r="B96" s="223"/>
      <c r="C96" s="76"/>
      <c r="D96" s="76"/>
      <c r="E96" s="76"/>
      <c r="F96" s="76"/>
      <c r="G96" s="76"/>
      <c r="H96" s="76"/>
      <c r="I96" s="76"/>
      <c r="J96" s="214"/>
      <c r="K96" s="157"/>
      <c r="L96" s="76"/>
      <c r="M96" s="78"/>
      <c r="N96" s="76"/>
      <c r="O96" s="76"/>
      <c r="P96" s="76"/>
      <c r="Q96" s="76"/>
    </row>
    <row r="97" spans="1:17" s="91" customFormat="1" ht="12" customHeight="1" x14ac:dyDescent="0.3">
      <c r="A97" s="76"/>
      <c r="B97" s="223"/>
      <c r="C97" s="76"/>
      <c r="D97" s="76"/>
      <c r="E97" s="76"/>
      <c r="F97" s="76"/>
      <c r="G97" s="76"/>
      <c r="H97" s="76"/>
      <c r="I97" s="76"/>
      <c r="J97" s="214"/>
      <c r="K97" s="157"/>
      <c r="L97" s="76"/>
      <c r="M97" s="78"/>
      <c r="N97" s="76"/>
      <c r="O97" s="76"/>
      <c r="P97" s="76"/>
      <c r="Q97" s="76"/>
    </row>
    <row r="98" spans="1:17" s="91" customFormat="1" ht="12" customHeight="1" x14ac:dyDescent="0.3">
      <c r="A98" s="76"/>
      <c r="B98" s="223"/>
      <c r="C98" s="76"/>
      <c r="D98" s="76"/>
      <c r="E98" s="76"/>
      <c r="F98" s="76"/>
      <c r="G98" s="76"/>
      <c r="H98" s="76"/>
      <c r="I98" s="76"/>
      <c r="J98" s="214"/>
      <c r="K98" s="157"/>
      <c r="L98" s="76"/>
      <c r="M98" s="78"/>
      <c r="N98" s="76"/>
      <c r="O98" s="76"/>
      <c r="P98" s="76"/>
      <c r="Q98" s="76"/>
    </row>
    <row r="99" spans="1:17" s="91" customFormat="1" ht="12" customHeight="1" x14ac:dyDescent="0.3">
      <c r="A99" s="76"/>
      <c r="B99" s="223"/>
      <c r="C99" s="76"/>
      <c r="D99" s="76"/>
      <c r="E99" s="76"/>
      <c r="F99" s="76"/>
      <c r="G99" s="76"/>
      <c r="H99" s="76"/>
      <c r="I99" s="76"/>
      <c r="J99" s="214"/>
      <c r="K99" s="157"/>
      <c r="L99" s="76"/>
      <c r="M99" s="78"/>
      <c r="N99" s="76"/>
      <c r="O99" s="76"/>
      <c r="P99" s="76"/>
      <c r="Q99" s="76"/>
    </row>
    <row r="100" spans="1:17" s="91" customFormat="1" ht="12" customHeight="1" x14ac:dyDescent="0.3">
      <c r="A100" s="76"/>
      <c r="B100" s="223"/>
      <c r="C100" s="76"/>
      <c r="D100" s="76"/>
      <c r="E100" s="76"/>
      <c r="F100" s="76"/>
      <c r="G100" s="76"/>
      <c r="H100" s="76"/>
      <c r="I100" s="76"/>
      <c r="J100" s="214"/>
      <c r="K100" s="157"/>
      <c r="L100" s="76"/>
      <c r="M100" s="78"/>
      <c r="N100" s="76"/>
      <c r="O100" s="76"/>
      <c r="P100" s="76"/>
      <c r="Q100" s="76"/>
    </row>
    <row r="101" spans="1:17" s="91" customFormat="1" ht="12" customHeight="1" x14ac:dyDescent="0.3">
      <c r="A101" s="76"/>
      <c r="B101" s="223"/>
      <c r="C101" s="76"/>
      <c r="D101" s="76"/>
      <c r="E101" s="76"/>
      <c r="F101" s="76"/>
      <c r="G101" s="76"/>
      <c r="H101" s="76"/>
      <c r="I101" s="76"/>
      <c r="J101" s="214"/>
      <c r="K101" s="157"/>
      <c r="L101" s="76"/>
      <c r="M101" s="78"/>
      <c r="N101" s="76"/>
      <c r="O101" s="76"/>
      <c r="P101" s="76"/>
      <c r="Q101" s="76"/>
    </row>
    <row r="102" spans="1:17" s="91" customFormat="1" ht="12" customHeight="1" x14ac:dyDescent="0.3">
      <c r="A102" s="76"/>
      <c r="B102" s="223"/>
      <c r="C102" s="76"/>
      <c r="D102" s="76"/>
      <c r="E102" s="76"/>
      <c r="F102" s="76"/>
      <c r="G102" s="76"/>
      <c r="H102" s="76"/>
      <c r="I102" s="76"/>
      <c r="J102" s="214"/>
      <c r="K102" s="157"/>
      <c r="L102" s="76"/>
      <c r="M102" s="78"/>
      <c r="N102" s="76"/>
      <c r="O102" s="76"/>
      <c r="P102" s="76"/>
      <c r="Q102" s="76"/>
    </row>
    <row r="103" spans="1:17" s="91" customFormat="1" ht="12" customHeight="1" x14ac:dyDescent="0.3">
      <c r="A103" s="76"/>
      <c r="B103" s="223"/>
      <c r="C103" s="76"/>
      <c r="D103" s="76"/>
      <c r="E103" s="76"/>
      <c r="F103" s="76"/>
      <c r="G103" s="76"/>
      <c r="H103" s="76"/>
      <c r="I103" s="76"/>
      <c r="J103" s="214"/>
      <c r="K103" s="157"/>
      <c r="L103" s="76"/>
      <c r="M103" s="78"/>
      <c r="N103" s="76"/>
      <c r="O103" s="76"/>
      <c r="P103" s="76"/>
      <c r="Q103" s="76"/>
    </row>
    <row r="104" spans="1:17" s="91" customFormat="1" ht="12" customHeight="1" x14ac:dyDescent="0.3">
      <c r="A104" s="76"/>
      <c r="B104" s="223"/>
      <c r="C104" s="76"/>
      <c r="D104" s="76"/>
      <c r="E104" s="76"/>
      <c r="F104" s="76"/>
      <c r="G104" s="76"/>
      <c r="H104" s="76"/>
      <c r="I104" s="76"/>
      <c r="J104" s="214"/>
      <c r="K104" s="157"/>
      <c r="L104" s="76"/>
      <c r="M104" s="78"/>
      <c r="N104" s="76"/>
      <c r="O104" s="76"/>
      <c r="P104" s="76"/>
      <c r="Q104" s="76"/>
    </row>
    <row r="105" spans="1:17" s="91" customFormat="1" ht="12" customHeight="1" x14ac:dyDescent="0.3">
      <c r="A105" s="76"/>
      <c r="B105" s="223"/>
      <c r="C105" s="76"/>
      <c r="D105" s="76"/>
      <c r="E105" s="76"/>
      <c r="F105" s="76"/>
      <c r="G105" s="76"/>
      <c r="H105" s="76"/>
      <c r="I105" s="76"/>
      <c r="J105" s="214"/>
      <c r="K105" s="157"/>
      <c r="L105" s="76"/>
      <c r="M105" s="78"/>
      <c r="N105" s="76"/>
      <c r="O105" s="76"/>
      <c r="P105" s="76"/>
      <c r="Q105" s="76"/>
    </row>
    <row r="106" spans="1:17" s="91" customFormat="1" ht="12" customHeight="1" x14ac:dyDescent="0.3">
      <c r="A106" s="76"/>
      <c r="B106" s="223"/>
      <c r="C106" s="76"/>
      <c r="D106" s="76"/>
      <c r="E106" s="76"/>
      <c r="F106" s="76"/>
      <c r="G106" s="76"/>
      <c r="H106" s="76"/>
      <c r="I106" s="76"/>
      <c r="J106" s="214"/>
      <c r="K106" s="157"/>
      <c r="L106" s="76"/>
      <c r="M106" s="78"/>
      <c r="N106" s="76"/>
      <c r="O106" s="76"/>
      <c r="P106" s="76"/>
      <c r="Q106" s="76"/>
    </row>
    <row r="107" spans="1:17" s="91" customFormat="1" ht="12" customHeight="1" x14ac:dyDescent="0.3">
      <c r="A107" s="76"/>
      <c r="B107" s="223"/>
      <c r="C107" s="76"/>
      <c r="D107" s="76"/>
      <c r="E107" s="76"/>
      <c r="F107" s="76"/>
      <c r="G107" s="76"/>
      <c r="H107" s="76"/>
      <c r="I107" s="76"/>
      <c r="J107" s="214"/>
      <c r="K107" s="157"/>
      <c r="L107" s="76"/>
      <c r="M107" s="78"/>
      <c r="N107" s="76"/>
      <c r="O107" s="76"/>
      <c r="P107" s="76"/>
      <c r="Q107" s="76"/>
    </row>
    <row r="108" spans="1:17" s="91" customFormat="1" ht="12" customHeight="1" x14ac:dyDescent="0.3">
      <c r="A108" s="76"/>
      <c r="B108" s="223"/>
      <c r="C108" s="76"/>
      <c r="D108" s="76"/>
      <c r="E108" s="76"/>
      <c r="F108" s="76"/>
      <c r="G108" s="76"/>
      <c r="H108" s="76"/>
      <c r="I108" s="76"/>
      <c r="J108" s="214"/>
      <c r="K108" s="157"/>
      <c r="L108" s="76"/>
      <c r="M108" s="78"/>
      <c r="N108" s="76"/>
      <c r="O108" s="76"/>
      <c r="P108" s="76"/>
      <c r="Q108" s="76"/>
    </row>
    <row r="109" spans="1:17" s="91" customFormat="1" ht="12" customHeight="1" x14ac:dyDescent="0.3">
      <c r="A109" s="76"/>
      <c r="B109" s="223"/>
      <c r="C109" s="76"/>
      <c r="D109" s="76"/>
      <c r="E109" s="76"/>
      <c r="F109" s="76"/>
      <c r="G109" s="76"/>
      <c r="H109" s="76"/>
      <c r="I109" s="76"/>
      <c r="J109" s="214"/>
      <c r="K109" s="157"/>
      <c r="L109" s="76"/>
      <c r="M109" s="78"/>
      <c r="N109" s="76"/>
      <c r="O109" s="76"/>
      <c r="P109" s="76"/>
      <c r="Q109" s="76"/>
    </row>
    <row r="110" spans="1:17" s="91" customFormat="1" ht="12" customHeight="1" x14ac:dyDescent="0.3">
      <c r="A110" s="76"/>
      <c r="B110" s="223"/>
      <c r="C110" s="76"/>
      <c r="D110" s="76"/>
      <c r="E110" s="76"/>
      <c r="F110" s="76"/>
      <c r="G110" s="76"/>
      <c r="H110" s="76"/>
      <c r="I110" s="76"/>
      <c r="J110" s="214"/>
      <c r="K110" s="157"/>
      <c r="L110" s="76"/>
      <c r="M110" s="78"/>
      <c r="N110" s="76"/>
      <c r="O110" s="76"/>
      <c r="P110" s="76"/>
      <c r="Q110" s="76"/>
    </row>
    <row r="111" spans="1:17" s="91" customFormat="1" ht="12" customHeight="1" x14ac:dyDescent="0.3">
      <c r="A111" s="76"/>
      <c r="B111" s="223"/>
      <c r="C111" s="76"/>
      <c r="D111" s="76"/>
      <c r="E111" s="76"/>
      <c r="F111" s="76"/>
      <c r="G111" s="76"/>
      <c r="H111" s="76"/>
      <c r="I111" s="76"/>
      <c r="J111" s="214"/>
      <c r="K111" s="157"/>
      <c r="L111" s="76"/>
      <c r="M111" s="78"/>
      <c r="N111" s="76"/>
      <c r="O111" s="76"/>
      <c r="P111" s="76"/>
      <c r="Q111" s="76"/>
    </row>
    <row r="112" spans="1:17" s="91" customFormat="1" ht="12" customHeight="1" x14ac:dyDescent="0.3">
      <c r="A112" s="76"/>
      <c r="B112" s="223"/>
      <c r="C112" s="76"/>
      <c r="D112" s="76"/>
      <c r="E112" s="76"/>
      <c r="F112" s="76"/>
      <c r="G112" s="76"/>
      <c r="H112" s="76"/>
      <c r="I112" s="76"/>
      <c r="J112" s="214"/>
      <c r="K112" s="157"/>
      <c r="L112" s="76"/>
      <c r="M112" s="78"/>
      <c r="N112" s="76"/>
      <c r="O112" s="76"/>
      <c r="P112" s="76"/>
      <c r="Q112" s="76"/>
    </row>
    <row r="113" spans="1:17" s="91" customFormat="1" ht="12" customHeight="1" x14ac:dyDescent="0.3">
      <c r="A113" s="76"/>
      <c r="B113" s="223"/>
      <c r="C113" s="76"/>
      <c r="D113" s="76"/>
      <c r="E113" s="76"/>
      <c r="F113" s="76"/>
      <c r="G113" s="76"/>
      <c r="H113" s="76"/>
      <c r="I113" s="76"/>
      <c r="J113" s="214"/>
      <c r="K113" s="157"/>
      <c r="L113" s="76"/>
      <c r="M113" s="78"/>
      <c r="N113" s="76"/>
      <c r="O113" s="76"/>
      <c r="P113" s="76"/>
      <c r="Q113" s="76"/>
    </row>
    <row r="114" spans="1:17" s="91" customFormat="1" ht="12" customHeight="1" x14ac:dyDescent="0.3">
      <c r="A114" s="76"/>
      <c r="B114" s="223"/>
      <c r="C114" s="76"/>
      <c r="D114" s="76"/>
      <c r="E114" s="76"/>
      <c r="F114" s="76"/>
      <c r="G114" s="76"/>
      <c r="H114" s="76"/>
      <c r="I114" s="76"/>
      <c r="J114" s="214"/>
      <c r="K114" s="157"/>
      <c r="L114" s="76"/>
      <c r="M114" s="78"/>
      <c r="N114" s="76"/>
      <c r="O114" s="76"/>
      <c r="P114" s="76"/>
      <c r="Q114" s="76"/>
    </row>
    <row r="115" spans="1:17" s="91" customFormat="1" ht="12" customHeight="1" x14ac:dyDescent="0.3">
      <c r="A115" s="76"/>
      <c r="B115" s="223"/>
      <c r="C115" s="76"/>
      <c r="D115" s="76"/>
      <c r="E115" s="76"/>
      <c r="F115" s="76"/>
      <c r="G115" s="76"/>
      <c r="H115" s="76"/>
      <c r="I115" s="76"/>
      <c r="J115" s="214"/>
      <c r="K115" s="157"/>
      <c r="L115" s="76"/>
      <c r="M115" s="78"/>
      <c r="N115" s="76"/>
      <c r="O115" s="76"/>
      <c r="P115" s="76"/>
      <c r="Q115" s="76"/>
    </row>
    <row r="116" spans="1:17" s="91" customFormat="1" ht="12" customHeight="1" x14ac:dyDescent="0.3">
      <c r="A116" s="76"/>
      <c r="B116" s="223"/>
      <c r="C116" s="76"/>
      <c r="D116" s="76"/>
      <c r="E116" s="76"/>
      <c r="F116" s="76"/>
      <c r="G116" s="76"/>
      <c r="H116" s="76"/>
      <c r="I116" s="76"/>
      <c r="J116" s="214"/>
      <c r="K116" s="157"/>
      <c r="L116" s="76"/>
      <c r="M116" s="78"/>
      <c r="N116" s="76"/>
      <c r="O116" s="76"/>
      <c r="P116" s="76"/>
      <c r="Q116" s="76"/>
    </row>
    <row r="117" spans="1:17" s="91" customFormat="1" ht="12" customHeight="1" x14ac:dyDescent="0.3">
      <c r="A117" s="76"/>
      <c r="B117" s="223"/>
      <c r="C117" s="76"/>
      <c r="D117" s="76"/>
      <c r="E117" s="76"/>
      <c r="F117" s="76"/>
      <c r="G117" s="76"/>
      <c r="H117" s="76"/>
      <c r="I117" s="76"/>
      <c r="J117" s="214"/>
      <c r="K117" s="157"/>
      <c r="L117" s="76"/>
      <c r="M117" s="78"/>
      <c r="N117" s="76"/>
      <c r="O117" s="76"/>
      <c r="P117" s="76"/>
      <c r="Q117" s="76"/>
    </row>
    <row r="118" spans="1:17" s="91" customFormat="1" ht="12" customHeight="1" x14ac:dyDescent="0.3">
      <c r="A118" s="76"/>
      <c r="B118" s="223"/>
      <c r="C118" s="76"/>
      <c r="D118" s="76"/>
      <c r="E118" s="76"/>
      <c r="F118" s="76"/>
      <c r="G118" s="76"/>
      <c r="H118" s="76"/>
      <c r="I118" s="76"/>
      <c r="J118" s="214"/>
      <c r="K118" s="157"/>
      <c r="L118" s="76"/>
      <c r="M118" s="78"/>
      <c r="N118" s="76"/>
      <c r="O118" s="76"/>
      <c r="P118" s="76"/>
      <c r="Q118" s="76"/>
    </row>
    <row r="119" spans="1:17" s="91" customFormat="1" ht="12" customHeight="1" x14ac:dyDescent="0.3">
      <c r="A119" s="76"/>
      <c r="B119" s="223"/>
      <c r="C119" s="76"/>
      <c r="D119" s="76"/>
      <c r="E119" s="76"/>
      <c r="F119" s="76"/>
      <c r="G119" s="76"/>
      <c r="H119" s="76"/>
      <c r="I119" s="76"/>
      <c r="J119" s="214"/>
      <c r="K119" s="157"/>
      <c r="L119" s="76"/>
      <c r="M119" s="78"/>
      <c r="N119" s="76"/>
      <c r="O119" s="76"/>
      <c r="P119" s="76"/>
      <c r="Q119" s="76"/>
    </row>
    <row r="120" spans="1:17" s="91" customFormat="1" ht="12" customHeight="1" x14ac:dyDescent="0.3">
      <c r="A120" s="76"/>
      <c r="B120" s="223"/>
      <c r="C120" s="76"/>
      <c r="D120" s="76"/>
      <c r="E120" s="76"/>
      <c r="F120" s="76"/>
      <c r="G120" s="76"/>
      <c r="H120" s="76"/>
      <c r="I120" s="76"/>
      <c r="J120" s="214"/>
      <c r="K120" s="157"/>
      <c r="L120" s="76"/>
      <c r="M120" s="78"/>
      <c r="N120" s="76"/>
      <c r="O120" s="76"/>
      <c r="P120" s="76"/>
      <c r="Q120" s="76"/>
    </row>
    <row r="121" spans="1:17" s="91" customFormat="1" ht="12" customHeight="1" x14ac:dyDescent="0.3">
      <c r="A121" s="76"/>
      <c r="B121" s="223"/>
      <c r="C121" s="76"/>
      <c r="D121" s="76"/>
      <c r="E121" s="76"/>
      <c r="F121" s="76"/>
      <c r="G121" s="76"/>
      <c r="H121" s="76"/>
      <c r="I121" s="76"/>
      <c r="J121" s="214"/>
      <c r="K121" s="157"/>
      <c r="L121" s="76"/>
      <c r="M121" s="78"/>
      <c r="N121" s="76"/>
      <c r="O121" s="76"/>
      <c r="P121" s="76"/>
      <c r="Q121" s="76"/>
    </row>
    <row r="122" spans="1:17" s="91" customFormat="1" ht="12" customHeight="1" x14ac:dyDescent="0.3">
      <c r="A122" s="76"/>
      <c r="B122" s="223"/>
      <c r="C122" s="76"/>
      <c r="D122" s="76"/>
      <c r="E122" s="76"/>
      <c r="F122" s="76"/>
      <c r="G122" s="76"/>
      <c r="H122" s="76"/>
      <c r="I122" s="76"/>
      <c r="J122" s="214"/>
      <c r="K122" s="157"/>
      <c r="L122" s="76"/>
      <c r="M122" s="78"/>
      <c r="N122" s="76"/>
      <c r="O122" s="76"/>
      <c r="P122" s="76"/>
      <c r="Q122" s="76"/>
    </row>
    <row r="123" spans="1:17" s="91" customFormat="1" ht="12" customHeight="1" x14ac:dyDescent="0.3">
      <c r="A123" s="76"/>
      <c r="B123" s="223"/>
      <c r="C123" s="76"/>
      <c r="D123" s="76"/>
      <c r="E123" s="76"/>
      <c r="F123" s="76"/>
      <c r="G123" s="76"/>
      <c r="H123" s="76"/>
      <c r="I123" s="76"/>
      <c r="J123" s="214"/>
      <c r="K123" s="157"/>
      <c r="L123" s="76"/>
      <c r="M123" s="78"/>
      <c r="N123" s="76"/>
      <c r="O123" s="76"/>
      <c r="P123" s="76"/>
      <c r="Q123" s="76"/>
    </row>
    <row r="124" spans="1:17" s="91" customFormat="1" ht="12" customHeight="1" x14ac:dyDescent="0.3">
      <c r="A124" s="76"/>
      <c r="B124" s="223"/>
      <c r="C124" s="76"/>
      <c r="D124" s="76"/>
      <c r="E124" s="76"/>
      <c r="F124" s="76"/>
      <c r="G124" s="76"/>
      <c r="H124" s="76"/>
      <c r="I124" s="76"/>
      <c r="J124" s="214"/>
      <c r="K124" s="157"/>
      <c r="L124" s="76"/>
      <c r="M124" s="78"/>
      <c r="N124" s="76"/>
      <c r="O124" s="76"/>
      <c r="P124" s="76"/>
      <c r="Q124" s="76"/>
    </row>
    <row r="125" spans="1:17" s="91" customFormat="1" ht="12" customHeight="1" x14ac:dyDescent="0.3">
      <c r="A125" s="76"/>
      <c r="B125" s="223"/>
      <c r="C125" s="76"/>
      <c r="D125" s="76"/>
      <c r="E125" s="76"/>
      <c r="F125" s="76"/>
      <c r="G125" s="76"/>
      <c r="H125" s="76"/>
      <c r="I125" s="76"/>
      <c r="J125" s="214"/>
      <c r="K125" s="157"/>
      <c r="L125" s="76"/>
      <c r="M125" s="78"/>
      <c r="N125" s="76"/>
      <c r="O125" s="76"/>
      <c r="P125" s="76"/>
      <c r="Q125" s="76"/>
    </row>
    <row r="126" spans="1:17" s="91" customFormat="1" ht="12" customHeight="1" x14ac:dyDescent="0.3">
      <c r="A126" s="76"/>
      <c r="B126" s="223"/>
      <c r="C126" s="76"/>
      <c r="D126" s="76"/>
      <c r="E126" s="76"/>
      <c r="F126" s="76"/>
      <c r="G126" s="76"/>
      <c r="H126" s="76"/>
      <c r="I126" s="76"/>
      <c r="J126" s="214"/>
      <c r="K126" s="157"/>
      <c r="L126" s="76"/>
      <c r="M126" s="78"/>
      <c r="N126" s="76"/>
      <c r="O126" s="76"/>
      <c r="P126" s="76"/>
      <c r="Q126" s="76"/>
    </row>
    <row r="127" spans="1:17" s="91" customFormat="1" ht="12" customHeight="1" x14ac:dyDescent="0.3">
      <c r="A127" s="76"/>
      <c r="B127" s="223"/>
      <c r="C127" s="76"/>
      <c r="D127" s="76"/>
      <c r="E127" s="76"/>
      <c r="F127" s="76"/>
      <c r="G127" s="76"/>
      <c r="H127" s="76"/>
      <c r="I127" s="76"/>
      <c r="J127" s="214"/>
      <c r="K127" s="157"/>
      <c r="L127" s="76"/>
      <c r="M127" s="78"/>
      <c r="N127" s="76"/>
      <c r="O127" s="76"/>
      <c r="P127" s="76"/>
      <c r="Q127" s="76"/>
    </row>
    <row r="128" spans="1:17" s="91" customFormat="1" ht="12" customHeight="1" x14ac:dyDescent="0.3">
      <c r="A128" s="76"/>
      <c r="B128" s="223"/>
      <c r="C128" s="76"/>
      <c r="D128" s="76"/>
      <c r="E128" s="76"/>
      <c r="F128" s="76"/>
      <c r="G128" s="76"/>
      <c r="H128" s="76"/>
      <c r="I128" s="76"/>
      <c r="J128" s="214"/>
      <c r="K128" s="157"/>
      <c r="L128" s="76"/>
      <c r="M128" s="78"/>
      <c r="N128" s="76"/>
      <c r="O128" s="76"/>
      <c r="P128" s="76"/>
      <c r="Q128" s="76"/>
    </row>
    <row r="129" spans="1:17" s="91" customFormat="1" ht="12" customHeight="1" x14ac:dyDescent="0.3">
      <c r="A129" s="76"/>
      <c r="B129" s="223"/>
      <c r="C129" s="76"/>
      <c r="D129" s="76"/>
      <c r="E129" s="76"/>
      <c r="F129" s="76"/>
      <c r="G129" s="76"/>
      <c r="H129" s="76"/>
      <c r="I129" s="76"/>
      <c r="J129" s="214"/>
      <c r="K129" s="157"/>
      <c r="L129" s="76"/>
      <c r="M129" s="78"/>
      <c r="N129" s="76"/>
      <c r="O129" s="76"/>
      <c r="P129" s="76"/>
      <c r="Q129" s="76"/>
    </row>
    <row r="130" spans="1:17" s="91" customFormat="1" ht="12" customHeight="1" x14ac:dyDescent="0.3">
      <c r="A130" s="76"/>
      <c r="B130" s="223"/>
      <c r="C130" s="76"/>
      <c r="D130" s="76"/>
      <c r="E130" s="76"/>
      <c r="F130" s="76"/>
      <c r="G130" s="76"/>
      <c r="H130" s="76"/>
      <c r="I130" s="76"/>
      <c r="J130" s="214"/>
      <c r="K130" s="157"/>
      <c r="L130" s="76"/>
      <c r="M130" s="78"/>
      <c r="N130" s="76"/>
      <c r="O130" s="76"/>
      <c r="P130" s="76"/>
      <c r="Q130" s="76"/>
    </row>
    <row r="131" spans="1:17" s="91" customFormat="1" ht="12" customHeight="1" x14ac:dyDescent="0.3">
      <c r="A131" s="76"/>
      <c r="B131" s="223"/>
      <c r="C131" s="76"/>
      <c r="D131" s="76"/>
      <c r="E131" s="76"/>
      <c r="F131" s="76"/>
      <c r="G131" s="76"/>
      <c r="H131" s="76"/>
      <c r="I131" s="76"/>
      <c r="J131" s="214"/>
      <c r="K131" s="157"/>
      <c r="L131" s="76"/>
      <c r="M131" s="78"/>
      <c r="N131" s="76"/>
      <c r="O131" s="76"/>
      <c r="P131" s="76"/>
      <c r="Q131" s="76"/>
    </row>
    <row r="132" spans="1:17" s="91" customFormat="1" ht="12" customHeight="1" x14ac:dyDescent="0.3">
      <c r="A132" s="76"/>
      <c r="B132" s="223"/>
      <c r="C132" s="76"/>
      <c r="D132" s="76"/>
      <c r="E132" s="76"/>
      <c r="F132" s="76"/>
      <c r="G132" s="76"/>
      <c r="H132" s="76"/>
      <c r="I132" s="76"/>
      <c r="J132" s="214"/>
      <c r="K132" s="157"/>
      <c r="L132" s="76"/>
      <c r="M132" s="78"/>
      <c r="N132" s="76"/>
      <c r="O132" s="76"/>
      <c r="P132" s="76"/>
      <c r="Q132" s="76"/>
    </row>
    <row r="133" spans="1:17" s="91" customFormat="1" ht="12" customHeight="1" x14ac:dyDescent="0.3">
      <c r="A133" s="76"/>
      <c r="B133" s="223"/>
      <c r="C133" s="76"/>
      <c r="D133" s="76"/>
      <c r="E133" s="76"/>
      <c r="F133" s="76"/>
      <c r="G133" s="76"/>
      <c r="H133" s="76"/>
      <c r="I133" s="76"/>
      <c r="J133" s="214"/>
      <c r="K133" s="157"/>
      <c r="L133" s="76"/>
      <c r="M133" s="78"/>
      <c r="N133" s="76"/>
      <c r="O133" s="76"/>
      <c r="P133" s="76"/>
      <c r="Q133" s="76"/>
    </row>
    <row r="134" spans="1:17" s="91" customFormat="1" ht="12" customHeight="1" x14ac:dyDescent="0.3">
      <c r="A134" s="76"/>
      <c r="B134" s="223"/>
      <c r="C134" s="76"/>
      <c r="D134" s="76"/>
      <c r="E134" s="76"/>
      <c r="F134" s="76"/>
      <c r="G134" s="76"/>
      <c r="H134" s="76"/>
      <c r="I134" s="76"/>
      <c r="J134" s="214"/>
      <c r="K134" s="157"/>
      <c r="L134" s="76"/>
      <c r="M134" s="78"/>
      <c r="N134" s="76"/>
      <c r="O134" s="76"/>
      <c r="P134" s="76"/>
      <c r="Q134" s="76"/>
    </row>
    <row r="135" spans="1:17" s="91" customFormat="1" ht="12" customHeight="1" x14ac:dyDescent="0.3">
      <c r="A135" s="76"/>
      <c r="B135" s="223"/>
      <c r="C135" s="76"/>
      <c r="D135" s="76"/>
      <c r="E135" s="76"/>
      <c r="F135" s="76"/>
      <c r="G135" s="76"/>
      <c r="H135" s="76"/>
      <c r="I135" s="76"/>
      <c r="J135" s="214"/>
      <c r="K135" s="157"/>
      <c r="L135" s="76"/>
      <c r="M135" s="78"/>
      <c r="N135" s="76"/>
      <c r="O135" s="76"/>
      <c r="P135" s="76"/>
      <c r="Q135" s="76"/>
    </row>
    <row r="136" spans="1:17" s="91" customFormat="1" ht="12" customHeight="1" x14ac:dyDescent="0.3">
      <c r="A136" s="76"/>
      <c r="B136" s="223"/>
      <c r="C136" s="76"/>
      <c r="D136" s="76"/>
      <c r="E136" s="76"/>
      <c r="F136" s="76"/>
      <c r="G136" s="76"/>
      <c r="H136" s="76"/>
      <c r="I136" s="76"/>
      <c r="J136" s="214"/>
      <c r="K136" s="157"/>
      <c r="L136" s="76"/>
      <c r="M136" s="78"/>
      <c r="N136" s="76"/>
      <c r="O136" s="76"/>
      <c r="P136" s="76"/>
      <c r="Q136" s="76"/>
    </row>
    <row r="137" spans="1:17" s="91" customFormat="1" ht="12" customHeight="1" x14ac:dyDescent="0.3">
      <c r="A137" s="76"/>
      <c r="B137" s="223"/>
      <c r="C137" s="76"/>
      <c r="D137" s="76"/>
      <c r="E137" s="76"/>
      <c r="F137" s="76"/>
      <c r="G137" s="76"/>
      <c r="H137" s="76"/>
      <c r="I137" s="76"/>
      <c r="J137" s="214"/>
      <c r="K137" s="157"/>
      <c r="L137" s="76"/>
      <c r="M137" s="78"/>
      <c r="N137" s="76"/>
      <c r="O137" s="76"/>
      <c r="P137" s="76"/>
      <c r="Q137" s="76"/>
    </row>
    <row r="138" spans="1:17" s="91" customFormat="1" ht="12" customHeight="1" x14ac:dyDescent="0.3">
      <c r="A138" s="76"/>
      <c r="B138" s="223"/>
      <c r="C138" s="76"/>
      <c r="D138" s="76"/>
      <c r="E138" s="76"/>
      <c r="F138" s="76"/>
      <c r="G138" s="76"/>
      <c r="H138" s="76"/>
      <c r="I138" s="76"/>
      <c r="J138" s="214"/>
      <c r="K138" s="157"/>
      <c r="L138" s="76"/>
      <c r="M138" s="78"/>
      <c r="N138" s="76"/>
      <c r="O138" s="76"/>
      <c r="P138" s="76"/>
      <c r="Q138" s="76"/>
    </row>
    <row r="139" spans="1:17" s="91" customFormat="1" ht="12" customHeight="1" x14ac:dyDescent="0.3">
      <c r="A139" s="76"/>
      <c r="B139" s="223"/>
      <c r="C139" s="76"/>
      <c r="D139" s="76"/>
      <c r="E139" s="76"/>
      <c r="F139" s="76"/>
      <c r="G139" s="76"/>
      <c r="H139" s="76"/>
      <c r="I139" s="76"/>
      <c r="J139" s="214"/>
      <c r="K139" s="157"/>
      <c r="L139" s="76"/>
      <c r="M139" s="78"/>
      <c r="N139" s="76"/>
      <c r="O139" s="76"/>
      <c r="P139" s="76"/>
      <c r="Q139" s="76"/>
    </row>
    <row r="140" spans="1:17" s="91" customFormat="1" ht="12" customHeight="1" x14ac:dyDescent="0.3">
      <c r="A140" s="76"/>
      <c r="B140" s="223"/>
      <c r="C140" s="76"/>
      <c r="D140" s="76"/>
      <c r="E140" s="76"/>
      <c r="F140" s="76"/>
      <c r="G140" s="76"/>
      <c r="H140" s="76"/>
      <c r="I140" s="76"/>
      <c r="J140" s="214"/>
      <c r="K140" s="157"/>
      <c r="L140" s="76"/>
      <c r="M140" s="78"/>
      <c r="N140" s="76"/>
      <c r="O140" s="76"/>
      <c r="P140" s="76"/>
      <c r="Q140" s="76"/>
    </row>
    <row r="141" spans="1:17" s="91" customFormat="1" ht="12" customHeight="1" x14ac:dyDescent="0.3">
      <c r="A141" s="76"/>
      <c r="B141" s="223"/>
      <c r="C141" s="76"/>
      <c r="D141" s="76"/>
      <c r="E141" s="76"/>
      <c r="F141" s="76"/>
      <c r="G141" s="76"/>
      <c r="H141" s="76"/>
      <c r="I141" s="76"/>
      <c r="J141" s="214"/>
      <c r="K141" s="157"/>
      <c r="L141" s="76"/>
      <c r="M141" s="78"/>
      <c r="N141" s="76"/>
      <c r="O141" s="76"/>
      <c r="P141" s="76"/>
      <c r="Q141" s="76"/>
    </row>
    <row r="142" spans="1:17" s="91" customFormat="1" ht="12" customHeight="1" x14ac:dyDescent="0.3">
      <c r="A142" s="76"/>
      <c r="B142" s="223"/>
      <c r="C142" s="76"/>
      <c r="D142" s="76"/>
      <c r="E142" s="76"/>
      <c r="F142" s="76"/>
      <c r="G142" s="76"/>
      <c r="H142" s="76"/>
      <c r="I142" s="76"/>
      <c r="J142" s="214"/>
      <c r="K142" s="157"/>
      <c r="L142" s="76"/>
      <c r="M142" s="78"/>
      <c r="N142" s="76"/>
      <c r="O142" s="76"/>
      <c r="P142" s="76"/>
      <c r="Q142" s="76"/>
    </row>
    <row r="143" spans="1:17" s="91" customFormat="1" ht="12" customHeight="1" x14ac:dyDescent="0.3">
      <c r="A143" s="76"/>
      <c r="B143" s="223"/>
      <c r="C143" s="76"/>
      <c r="D143" s="76"/>
      <c r="E143" s="76"/>
      <c r="F143" s="76"/>
      <c r="G143" s="76"/>
      <c r="H143" s="76"/>
      <c r="I143" s="76"/>
      <c r="J143" s="214"/>
      <c r="K143" s="157"/>
      <c r="L143" s="76"/>
      <c r="M143" s="78"/>
      <c r="N143" s="76"/>
      <c r="O143" s="76"/>
      <c r="P143" s="76"/>
      <c r="Q143" s="76"/>
    </row>
    <row r="144" spans="1:17" s="91" customFormat="1" ht="12" customHeight="1" x14ac:dyDescent="0.3">
      <c r="A144" s="76"/>
      <c r="B144" s="223"/>
      <c r="C144" s="76"/>
      <c r="D144" s="76"/>
      <c r="E144" s="76"/>
      <c r="F144" s="76"/>
      <c r="G144" s="76"/>
      <c r="H144" s="76"/>
      <c r="I144" s="76"/>
      <c r="J144" s="214"/>
      <c r="K144" s="157"/>
      <c r="L144" s="76"/>
      <c r="M144" s="78"/>
      <c r="N144" s="76"/>
      <c r="O144" s="76"/>
      <c r="P144" s="76"/>
      <c r="Q144" s="76"/>
    </row>
    <row r="145" spans="1:17" s="91" customFormat="1" ht="12" customHeight="1" x14ac:dyDescent="0.3">
      <c r="A145" s="76"/>
      <c r="B145" s="223"/>
      <c r="C145" s="76"/>
      <c r="D145" s="76"/>
      <c r="E145" s="76"/>
      <c r="F145" s="76"/>
      <c r="G145" s="76"/>
      <c r="H145" s="76"/>
      <c r="I145" s="76"/>
      <c r="J145" s="214"/>
      <c r="K145" s="157"/>
      <c r="L145" s="76"/>
      <c r="M145" s="78"/>
      <c r="N145" s="76"/>
      <c r="O145" s="76"/>
      <c r="P145" s="76"/>
      <c r="Q145" s="76"/>
    </row>
    <row r="146" spans="1:17" s="91" customFormat="1" ht="12" customHeight="1" x14ac:dyDescent="0.3">
      <c r="A146" s="76"/>
      <c r="B146" s="223"/>
      <c r="C146" s="76"/>
      <c r="D146" s="76"/>
      <c r="E146" s="76"/>
      <c r="F146" s="76"/>
      <c r="G146" s="76"/>
      <c r="H146" s="76"/>
      <c r="I146" s="76"/>
      <c r="J146" s="214"/>
      <c r="K146" s="157"/>
      <c r="L146" s="76"/>
      <c r="M146" s="78"/>
      <c r="N146" s="76"/>
      <c r="O146" s="76"/>
      <c r="P146" s="76"/>
      <c r="Q146" s="76"/>
    </row>
    <row r="147" spans="1:17" s="91" customFormat="1" ht="12" customHeight="1" x14ac:dyDescent="0.3">
      <c r="A147" s="76"/>
      <c r="B147" s="223"/>
      <c r="C147" s="76"/>
      <c r="D147" s="76"/>
      <c r="E147" s="76"/>
      <c r="F147" s="76"/>
      <c r="G147" s="76"/>
      <c r="H147" s="76"/>
      <c r="I147" s="76"/>
      <c r="J147" s="214"/>
      <c r="K147" s="157"/>
      <c r="L147" s="76"/>
      <c r="M147" s="78"/>
      <c r="N147" s="76"/>
      <c r="O147" s="76"/>
      <c r="P147" s="76"/>
      <c r="Q147" s="76"/>
    </row>
    <row r="148" spans="1:17" s="91" customFormat="1" ht="12" customHeight="1" x14ac:dyDescent="0.3">
      <c r="A148" s="76"/>
      <c r="B148" s="223"/>
      <c r="C148" s="76"/>
      <c r="D148" s="76"/>
      <c r="E148" s="76"/>
      <c r="F148" s="76"/>
      <c r="G148" s="76"/>
      <c r="H148" s="76"/>
      <c r="I148" s="76"/>
      <c r="J148" s="214"/>
      <c r="K148" s="157"/>
      <c r="L148" s="76"/>
      <c r="M148" s="78"/>
      <c r="N148" s="76"/>
      <c r="O148" s="76"/>
      <c r="P148" s="76"/>
      <c r="Q148" s="76"/>
    </row>
    <row r="149" spans="1:17" s="91" customFormat="1" ht="12" customHeight="1" x14ac:dyDescent="0.3">
      <c r="A149" s="76"/>
      <c r="B149" s="223"/>
      <c r="C149" s="76"/>
      <c r="D149" s="76"/>
      <c r="E149" s="76"/>
      <c r="F149" s="76"/>
      <c r="G149" s="76"/>
      <c r="H149" s="76"/>
      <c r="I149" s="76"/>
      <c r="J149" s="214"/>
      <c r="K149" s="157"/>
      <c r="L149" s="76"/>
      <c r="M149" s="78"/>
      <c r="N149" s="76"/>
      <c r="O149" s="76"/>
      <c r="P149" s="76"/>
      <c r="Q149" s="76"/>
    </row>
    <row r="150" spans="1:17" s="91" customFormat="1" ht="12" customHeight="1" x14ac:dyDescent="0.3">
      <c r="A150" s="76"/>
      <c r="B150" s="223"/>
      <c r="C150" s="76"/>
      <c r="D150" s="76"/>
      <c r="E150" s="76"/>
      <c r="F150" s="76"/>
      <c r="G150" s="76"/>
      <c r="H150" s="76"/>
      <c r="I150" s="76"/>
      <c r="J150" s="214"/>
      <c r="K150" s="157"/>
      <c r="L150" s="76"/>
      <c r="M150" s="78"/>
      <c r="N150" s="76"/>
      <c r="O150" s="76"/>
      <c r="P150" s="76"/>
      <c r="Q150" s="76"/>
    </row>
    <row r="151" spans="1:17" s="91" customFormat="1" ht="12" customHeight="1" x14ac:dyDescent="0.3">
      <c r="A151" s="76"/>
      <c r="B151" s="223"/>
      <c r="C151" s="76"/>
      <c r="D151" s="76"/>
      <c r="E151" s="76"/>
      <c r="F151" s="76"/>
      <c r="G151" s="76"/>
      <c r="H151" s="76"/>
      <c r="I151" s="76"/>
      <c r="J151" s="214"/>
      <c r="K151" s="157"/>
      <c r="L151" s="76"/>
      <c r="M151" s="78"/>
      <c r="N151" s="76"/>
      <c r="O151" s="76"/>
      <c r="P151" s="76"/>
      <c r="Q151" s="76"/>
    </row>
    <row r="152" spans="1:17" s="91" customFormat="1" ht="12" customHeight="1" x14ac:dyDescent="0.3">
      <c r="A152" s="76"/>
      <c r="B152" s="223"/>
      <c r="C152" s="76"/>
      <c r="D152" s="76"/>
      <c r="E152" s="76"/>
      <c r="F152" s="76"/>
      <c r="G152" s="76"/>
      <c r="H152" s="76"/>
      <c r="I152" s="76"/>
      <c r="J152" s="214"/>
      <c r="K152" s="157"/>
      <c r="L152" s="76"/>
      <c r="M152" s="78"/>
      <c r="N152" s="76"/>
      <c r="O152" s="76"/>
      <c r="P152" s="76"/>
      <c r="Q152" s="76"/>
    </row>
    <row r="153" spans="1:17" s="91" customFormat="1" ht="12" customHeight="1" x14ac:dyDescent="0.3">
      <c r="A153" s="76"/>
      <c r="B153" s="223"/>
      <c r="C153" s="76"/>
      <c r="D153" s="76"/>
      <c r="E153" s="76"/>
      <c r="F153" s="76"/>
      <c r="G153" s="76"/>
      <c r="H153" s="76"/>
      <c r="I153" s="76"/>
      <c r="J153" s="214"/>
      <c r="K153" s="157"/>
      <c r="L153" s="76"/>
      <c r="M153" s="78"/>
      <c r="N153" s="76"/>
      <c r="O153" s="76"/>
      <c r="P153" s="76"/>
      <c r="Q153" s="76"/>
    </row>
    <row r="154" spans="1:17" s="91" customFormat="1" ht="12" customHeight="1" x14ac:dyDescent="0.3">
      <c r="A154" s="76"/>
      <c r="B154" s="223"/>
      <c r="C154" s="76"/>
      <c r="D154" s="76"/>
      <c r="E154" s="76"/>
      <c r="F154" s="76"/>
      <c r="G154" s="76"/>
      <c r="H154" s="76"/>
      <c r="I154" s="76"/>
      <c r="J154" s="214"/>
      <c r="K154" s="157"/>
      <c r="L154" s="76"/>
      <c r="M154" s="78"/>
      <c r="N154" s="76"/>
      <c r="O154" s="76"/>
      <c r="P154" s="76"/>
      <c r="Q154" s="76"/>
    </row>
    <row r="155" spans="1:17" s="91" customFormat="1" ht="12" customHeight="1" x14ac:dyDescent="0.3">
      <c r="A155" s="76"/>
      <c r="B155" s="223"/>
      <c r="C155" s="76"/>
      <c r="D155" s="76"/>
      <c r="E155" s="76"/>
      <c r="F155" s="76"/>
      <c r="G155" s="76"/>
      <c r="H155" s="76"/>
      <c r="I155" s="76"/>
      <c r="J155" s="214"/>
      <c r="K155" s="157"/>
      <c r="L155" s="76"/>
      <c r="M155" s="78"/>
      <c r="N155" s="76"/>
      <c r="O155" s="76"/>
      <c r="P155" s="76"/>
      <c r="Q155" s="76"/>
    </row>
    <row r="156" spans="1:17" s="91" customFormat="1" ht="12" customHeight="1" x14ac:dyDescent="0.3">
      <c r="A156" s="76"/>
      <c r="B156" s="223"/>
      <c r="C156" s="76"/>
      <c r="D156" s="76"/>
      <c r="E156" s="76"/>
      <c r="F156" s="76"/>
      <c r="G156" s="76"/>
      <c r="H156" s="76"/>
      <c r="I156" s="76"/>
      <c r="J156" s="214"/>
      <c r="K156" s="157"/>
      <c r="L156" s="76"/>
      <c r="M156" s="78"/>
      <c r="N156" s="76"/>
      <c r="O156" s="76"/>
      <c r="P156" s="76"/>
      <c r="Q156" s="76"/>
    </row>
    <row r="157" spans="1:17" s="91" customFormat="1" ht="12" customHeight="1" x14ac:dyDescent="0.3">
      <c r="A157" s="76"/>
      <c r="B157" s="223"/>
      <c r="C157" s="76"/>
      <c r="D157" s="76"/>
      <c r="E157" s="76"/>
      <c r="F157" s="76"/>
      <c r="G157" s="76"/>
      <c r="H157" s="76"/>
      <c r="I157" s="76"/>
      <c r="J157" s="214"/>
      <c r="K157" s="157"/>
      <c r="L157" s="76"/>
      <c r="M157" s="78"/>
      <c r="N157" s="76"/>
      <c r="O157" s="76"/>
      <c r="P157" s="76"/>
      <c r="Q157" s="76"/>
    </row>
    <row r="158" spans="1:17" s="91" customFormat="1" ht="12" customHeight="1" x14ac:dyDescent="0.3">
      <c r="A158" s="76"/>
      <c r="B158" s="223"/>
      <c r="C158" s="76"/>
      <c r="D158" s="76"/>
      <c r="E158" s="76"/>
      <c r="F158" s="76"/>
      <c r="G158" s="76"/>
      <c r="H158" s="76"/>
      <c r="I158" s="76"/>
      <c r="J158" s="214"/>
      <c r="K158" s="157"/>
      <c r="L158" s="76"/>
      <c r="M158" s="78"/>
      <c r="N158" s="76"/>
      <c r="O158" s="76"/>
      <c r="P158" s="76"/>
      <c r="Q158" s="76"/>
    </row>
    <row r="159" spans="1:17" s="91" customFormat="1" ht="12" customHeight="1" x14ac:dyDescent="0.3">
      <c r="A159" s="76"/>
      <c r="B159" s="223"/>
      <c r="C159" s="76"/>
      <c r="D159" s="76"/>
      <c r="E159" s="76"/>
      <c r="F159" s="76"/>
      <c r="G159" s="76"/>
      <c r="H159" s="76"/>
      <c r="I159" s="76"/>
      <c r="J159" s="214"/>
      <c r="K159" s="157"/>
      <c r="L159" s="76"/>
      <c r="M159" s="78"/>
      <c r="N159" s="76"/>
      <c r="O159" s="76"/>
      <c r="P159" s="76"/>
      <c r="Q159" s="76"/>
    </row>
    <row r="160" spans="1:17" s="91" customFormat="1" ht="12" customHeight="1" x14ac:dyDescent="0.3">
      <c r="A160" s="76"/>
      <c r="B160" s="223"/>
      <c r="C160" s="76"/>
      <c r="D160" s="76"/>
      <c r="E160" s="76"/>
      <c r="F160" s="76"/>
      <c r="G160" s="76"/>
      <c r="H160" s="76"/>
      <c r="I160" s="76"/>
      <c r="J160" s="214"/>
      <c r="K160" s="157"/>
      <c r="L160" s="76"/>
      <c r="M160" s="78"/>
      <c r="N160" s="76"/>
      <c r="O160" s="76"/>
      <c r="P160" s="76"/>
      <c r="Q160" s="76"/>
    </row>
    <row r="161" spans="1:17" s="91" customFormat="1" ht="12" customHeight="1" x14ac:dyDescent="0.3">
      <c r="A161" s="76"/>
      <c r="B161" s="223"/>
      <c r="C161" s="76"/>
      <c r="D161" s="76"/>
      <c r="E161" s="76"/>
      <c r="F161" s="76"/>
      <c r="G161" s="76"/>
      <c r="H161" s="76"/>
      <c r="I161" s="76"/>
      <c r="J161" s="214"/>
      <c r="K161" s="157"/>
      <c r="L161" s="76"/>
      <c r="M161" s="78"/>
      <c r="N161" s="76"/>
      <c r="O161" s="76"/>
      <c r="P161" s="76"/>
      <c r="Q161" s="76"/>
    </row>
    <row r="162" spans="1:17" s="91" customFormat="1" ht="12" customHeight="1" x14ac:dyDescent="0.3">
      <c r="A162" s="76"/>
      <c r="B162" s="223"/>
      <c r="C162" s="76"/>
      <c r="D162" s="76"/>
      <c r="E162" s="76"/>
      <c r="F162" s="76"/>
      <c r="G162" s="76"/>
      <c r="H162" s="76"/>
      <c r="I162" s="76"/>
      <c r="J162" s="214"/>
      <c r="K162" s="157"/>
      <c r="L162" s="76"/>
      <c r="M162" s="78"/>
      <c r="N162" s="76"/>
      <c r="O162" s="76"/>
      <c r="P162" s="76"/>
      <c r="Q162" s="76"/>
    </row>
    <row r="163" spans="1:17" s="91" customFormat="1" ht="12" customHeight="1" x14ac:dyDescent="0.3">
      <c r="A163" s="76"/>
      <c r="B163" s="223"/>
      <c r="C163" s="76"/>
      <c r="D163" s="76"/>
      <c r="E163" s="76"/>
      <c r="F163" s="76"/>
      <c r="G163" s="76"/>
      <c r="H163" s="76"/>
      <c r="I163" s="76"/>
      <c r="J163" s="214"/>
      <c r="K163" s="157"/>
      <c r="L163" s="76"/>
      <c r="M163" s="78"/>
      <c r="N163" s="76"/>
      <c r="O163" s="76"/>
      <c r="P163" s="76"/>
      <c r="Q163" s="76"/>
    </row>
    <row r="164" spans="1:17" s="91" customFormat="1" ht="12" customHeight="1" x14ac:dyDescent="0.3">
      <c r="A164" s="76"/>
      <c r="B164" s="223"/>
      <c r="C164" s="76"/>
      <c r="D164" s="76"/>
      <c r="E164" s="76"/>
      <c r="F164" s="76"/>
      <c r="G164" s="76"/>
      <c r="H164" s="76"/>
      <c r="I164" s="76"/>
      <c r="J164" s="214"/>
      <c r="K164" s="157"/>
      <c r="L164" s="76"/>
      <c r="M164" s="78"/>
      <c r="N164" s="76"/>
      <c r="O164" s="76"/>
      <c r="P164" s="76"/>
      <c r="Q164" s="76"/>
    </row>
    <row r="165" spans="1:17" s="91" customFormat="1" ht="12" customHeight="1" x14ac:dyDescent="0.3">
      <c r="A165" s="76"/>
      <c r="B165" s="223"/>
      <c r="C165" s="76"/>
      <c r="D165" s="76"/>
      <c r="E165" s="76"/>
      <c r="F165" s="76"/>
      <c r="G165" s="76"/>
      <c r="H165" s="76"/>
      <c r="I165" s="76"/>
      <c r="J165" s="214"/>
      <c r="K165" s="157"/>
      <c r="L165" s="76"/>
      <c r="M165" s="78"/>
      <c r="N165" s="76"/>
      <c r="O165" s="76"/>
      <c r="P165" s="76"/>
      <c r="Q165" s="76"/>
    </row>
    <row r="166" spans="1:17" s="91" customFormat="1" ht="12" customHeight="1" x14ac:dyDescent="0.3">
      <c r="A166" s="76"/>
      <c r="B166" s="223"/>
      <c r="C166" s="76"/>
      <c r="D166" s="76"/>
      <c r="E166" s="76"/>
      <c r="F166" s="76"/>
      <c r="G166" s="76"/>
      <c r="H166" s="76"/>
      <c r="I166" s="76"/>
      <c r="J166" s="214"/>
      <c r="K166" s="157"/>
      <c r="L166" s="76"/>
      <c r="M166" s="78"/>
      <c r="N166" s="76"/>
      <c r="O166" s="76"/>
      <c r="P166" s="76"/>
      <c r="Q166" s="76"/>
    </row>
    <row r="167" spans="1:17" s="91" customFormat="1" ht="10.5" customHeight="1" x14ac:dyDescent="0.3">
      <c r="A167" s="76"/>
      <c r="B167" s="223"/>
      <c r="C167" s="76"/>
      <c r="D167" s="76"/>
      <c r="E167" s="76"/>
      <c r="F167" s="76"/>
      <c r="G167" s="76"/>
      <c r="H167" s="76"/>
      <c r="I167" s="76"/>
      <c r="J167" s="214"/>
      <c r="K167" s="157"/>
      <c r="L167" s="76"/>
      <c r="M167" s="78"/>
      <c r="N167" s="76"/>
      <c r="O167" s="76"/>
      <c r="P167" s="76"/>
      <c r="Q167" s="76"/>
    </row>
    <row r="168" spans="1:17" s="91" customFormat="1" ht="12" customHeight="1" x14ac:dyDescent="0.3">
      <c r="A168" s="76"/>
      <c r="B168" s="223"/>
      <c r="C168" s="76"/>
      <c r="D168" s="76"/>
      <c r="E168" s="76"/>
      <c r="F168" s="76"/>
      <c r="G168" s="76"/>
      <c r="H168" s="76"/>
      <c r="I168" s="76"/>
      <c r="J168" s="214"/>
      <c r="K168" s="157"/>
      <c r="L168" s="76"/>
      <c r="M168" s="78"/>
      <c r="N168" s="76"/>
      <c r="O168" s="76"/>
      <c r="P168" s="76"/>
      <c r="Q168" s="76"/>
    </row>
    <row r="169" spans="1:17" s="91" customFormat="1" ht="12" customHeight="1" x14ac:dyDescent="0.3">
      <c r="A169" s="76"/>
      <c r="B169" s="223"/>
      <c r="C169" s="76"/>
      <c r="D169" s="76"/>
      <c r="E169" s="76"/>
      <c r="F169" s="76"/>
      <c r="G169" s="76"/>
      <c r="H169" s="76"/>
      <c r="I169" s="76"/>
      <c r="J169" s="214"/>
      <c r="K169" s="157"/>
      <c r="L169" s="76"/>
      <c r="M169" s="78"/>
      <c r="N169" s="76"/>
      <c r="O169" s="76"/>
      <c r="P169" s="76"/>
      <c r="Q169" s="76"/>
    </row>
    <row r="170" spans="1:17" s="91" customFormat="1" ht="12" customHeight="1" x14ac:dyDescent="0.3">
      <c r="A170" s="76"/>
      <c r="B170" s="223"/>
      <c r="C170" s="76"/>
      <c r="D170" s="76"/>
      <c r="E170" s="76"/>
      <c r="F170" s="76"/>
      <c r="G170" s="76"/>
      <c r="H170" s="76"/>
      <c r="I170" s="76"/>
      <c r="J170" s="214"/>
      <c r="K170" s="157"/>
      <c r="L170" s="76"/>
      <c r="M170" s="78"/>
      <c r="N170" s="76"/>
      <c r="O170" s="76"/>
      <c r="P170" s="76"/>
      <c r="Q170" s="76"/>
    </row>
    <row r="171" spans="1:17" s="91" customFormat="1" ht="12" customHeight="1" x14ac:dyDescent="0.3">
      <c r="A171" s="76"/>
      <c r="B171" s="223"/>
      <c r="C171" s="76"/>
      <c r="D171" s="76"/>
      <c r="E171" s="76"/>
      <c r="F171" s="76"/>
      <c r="G171" s="76"/>
      <c r="H171" s="76"/>
      <c r="I171" s="76"/>
      <c r="J171" s="214"/>
      <c r="K171" s="157"/>
      <c r="L171" s="76"/>
      <c r="M171" s="78"/>
      <c r="N171" s="76"/>
      <c r="O171" s="76"/>
      <c r="P171" s="76"/>
      <c r="Q171" s="76"/>
    </row>
    <row r="172" spans="1:17" s="91" customFormat="1" ht="12" customHeight="1" x14ac:dyDescent="0.3">
      <c r="A172" s="76"/>
      <c r="B172" s="223"/>
      <c r="C172" s="76"/>
      <c r="D172" s="76"/>
      <c r="E172" s="76"/>
      <c r="F172" s="76"/>
      <c r="G172" s="76"/>
      <c r="H172" s="76"/>
      <c r="I172" s="76"/>
      <c r="J172" s="214"/>
      <c r="K172" s="157"/>
      <c r="L172" s="76"/>
      <c r="M172" s="78"/>
      <c r="N172" s="76"/>
      <c r="O172" s="76"/>
      <c r="P172" s="76"/>
      <c r="Q172" s="76"/>
    </row>
    <row r="173" spans="1:17" s="91" customFormat="1" ht="12" customHeight="1" x14ac:dyDescent="0.3">
      <c r="A173" s="76"/>
      <c r="B173" s="223"/>
      <c r="C173" s="76"/>
      <c r="D173" s="76"/>
      <c r="E173" s="76"/>
      <c r="F173" s="76"/>
      <c r="G173" s="76"/>
      <c r="H173" s="76"/>
      <c r="I173" s="76"/>
      <c r="J173" s="214"/>
      <c r="K173" s="157"/>
      <c r="L173" s="76"/>
      <c r="M173" s="78"/>
      <c r="N173" s="76"/>
      <c r="O173" s="76"/>
      <c r="P173" s="76"/>
      <c r="Q173" s="76"/>
    </row>
    <row r="174" spans="1:17" s="91" customFormat="1" ht="12" customHeight="1" x14ac:dyDescent="0.3">
      <c r="A174" s="76"/>
      <c r="B174" s="223"/>
      <c r="C174" s="76"/>
      <c r="D174" s="76"/>
      <c r="E174" s="76"/>
      <c r="F174" s="76"/>
      <c r="G174" s="76"/>
      <c r="H174" s="76"/>
      <c r="I174" s="76"/>
      <c r="J174" s="214"/>
      <c r="K174" s="157"/>
      <c r="L174" s="76"/>
      <c r="M174" s="78"/>
      <c r="N174" s="76"/>
      <c r="O174" s="76"/>
      <c r="P174" s="76"/>
      <c r="Q174" s="76"/>
    </row>
    <row r="175" spans="1:17" s="91" customFormat="1" ht="12" customHeight="1" x14ac:dyDescent="0.3">
      <c r="A175" s="76"/>
      <c r="B175" s="223"/>
      <c r="C175" s="76"/>
      <c r="D175" s="76"/>
      <c r="E175" s="76"/>
      <c r="F175" s="76"/>
      <c r="G175" s="76"/>
      <c r="H175" s="76"/>
      <c r="I175" s="76"/>
      <c r="J175" s="214"/>
      <c r="K175" s="157"/>
      <c r="L175" s="76"/>
      <c r="M175" s="78"/>
      <c r="N175" s="76"/>
      <c r="O175" s="76"/>
      <c r="P175" s="76"/>
      <c r="Q175" s="76"/>
    </row>
    <row r="176" spans="1:17" s="91" customFormat="1" ht="12" customHeight="1" x14ac:dyDescent="0.3">
      <c r="A176" s="76"/>
      <c r="B176" s="223"/>
      <c r="C176" s="76"/>
      <c r="D176" s="76"/>
      <c r="E176" s="76"/>
      <c r="F176" s="76"/>
      <c r="G176" s="76"/>
      <c r="H176" s="76"/>
      <c r="I176" s="76"/>
      <c r="J176" s="214"/>
      <c r="K176" s="157"/>
      <c r="L176" s="76"/>
      <c r="M176" s="78"/>
      <c r="N176" s="76"/>
      <c r="O176" s="76"/>
      <c r="P176" s="76"/>
      <c r="Q176" s="76"/>
    </row>
    <row r="177" spans="1:17" s="91" customFormat="1" ht="12" customHeight="1" x14ac:dyDescent="0.3">
      <c r="A177" s="76"/>
      <c r="B177" s="223"/>
      <c r="C177" s="76"/>
      <c r="D177" s="76"/>
      <c r="E177" s="76"/>
      <c r="F177" s="76"/>
      <c r="G177" s="76"/>
      <c r="H177" s="76"/>
      <c r="I177" s="76"/>
      <c r="J177" s="214"/>
      <c r="K177" s="157"/>
      <c r="L177" s="76"/>
      <c r="M177" s="78"/>
      <c r="N177" s="76"/>
      <c r="O177" s="76"/>
      <c r="P177" s="76"/>
      <c r="Q177" s="76"/>
    </row>
    <row r="178" spans="1:17" s="91" customFormat="1" ht="12" customHeight="1" x14ac:dyDescent="0.3">
      <c r="A178" s="76"/>
      <c r="B178" s="223"/>
      <c r="C178" s="76"/>
      <c r="D178" s="76"/>
      <c r="E178" s="76"/>
      <c r="F178" s="76"/>
      <c r="G178" s="76"/>
      <c r="H178" s="76"/>
      <c r="I178" s="76"/>
      <c r="J178" s="214"/>
      <c r="K178" s="157"/>
      <c r="L178" s="76"/>
      <c r="M178" s="78"/>
      <c r="N178" s="76"/>
      <c r="O178" s="76"/>
      <c r="P178" s="76"/>
      <c r="Q178" s="76"/>
    </row>
    <row r="179" spans="1:17" s="91" customFormat="1" ht="12" customHeight="1" x14ac:dyDescent="0.3">
      <c r="A179" s="76"/>
      <c r="B179" s="223"/>
      <c r="C179" s="76"/>
      <c r="D179" s="76"/>
      <c r="E179" s="76"/>
      <c r="F179" s="76"/>
      <c r="G179" s="76"/>
      <c r="H179" s="76"/>
      <c r="I179" s="76"/>
      <c r="J179" s="214"/>
      <c r="K179" s="157"/>
      <c r="L179" s="76"/>
      <c r="M179" s="78"/>
      <c r="N179" s="76"/>
      <c r="O179" s="76"/>
      <c r="P179" s="76"/>
      <c r="Q179" s="76"/>
    </row>
    <row r="180" spans="1:17" s="91" customFormat="1" ht="12" customHeight="1" x14ac:dyDescent="0.3">
      <c r="A180" s="76"/>
      <c r="B180" s="223"/>
      <c r="C180" s="76"/>
      <c r="D180" s="76"/>
      <c r="E180" s="76"/>
      <c r="F180" s="76"/>
      <c r="G180" s="76"/>
      <c r="H180" s="76"/>
      <c r="I180" s="76"/>
      <c r="J180" s="214"/>
      <c r="K180" s="157"/>
      <c r="L180" s="76"/>
      <c r="M180" s="78"/>
      <c r="N180" s="76"/>
      <c r="O180" s="76"/>
      <c r="P180" s="76"/>
      <c r="Q180" s="76"/>
    </row>
    <row r="181" spans="1:17" s="91" customFormat="1" ht="12" customHeight="1" x14ac:dyDescent="0.3">
      <c r="A181" s="76"/>
      <c r="B181" s="223"/>
      <c r="C181" s="76"/>
      <c r="D181" s="76"/>
      <c r="E181" s="76"/>
      <c r="F181" s="76"/>
      <c r="G181" s="76"/>
      <c r="H181" s="76"/>
      <c r="I181" s="76"/>
      <c r="J181" s="214"/>
      <c r="K181" s="157"/>
      <c r="L181" s="76"/>
      <c r="M181" s="78"/>
      <c r="N181" s="76"/>
      <c r="O181" s="76"/>
      <c r="P181" s="76"/>
      <c r="Q181" s="76"/>
    </row>
    <row r="182" spans="1:17" s="91" customFormat="1" ht="12" customHeight="1" x14ac:dyDescent="0.3">
      <c r="A182" s="76"/>
      <c r="B182" s="223"/>
      <c r="C182" s="76"/>
      <c r="D182" s="76"/>
      <c r="E182" s="76"/>
      <c r="F182" s="76"/>
      <c r="G182" s="76"/>
      <c r="H182" s="76"/>
      <c r="I182" s="76"/>
      <c r="J182" s="214"/>
      <c r="K182" s="157"/>
      <c r="L182" s="76"/>
      <c r="M182" s="78"/>
      <c r="N182" s="76"/>
      <c r="O182" s="76"/>
      <c r="P182" s="76"/>
      <c r="Q182" s="76"/>
    </row>
    <row r="183" spans="1:17" s="91" customFormat="1" ht="12" customHeight="1" x14ac:dyDescent="0.3">
      <c r="A183" s="76"/>
      <c r="B183" s="223"/>
      <c r="C183" s="76"/>
      <c r="D183" s="76"/>
      <c r="E183" s="76"/>
      <c r="F183" s="76"/>
      <c r="G183" s="76"/>
      <c r="H183" s="76"/>
      <c r="I183" s="76"/>
      <c r="J183" s="214"/>
      <c r="K183" s="157"/>
      <c r="L183" s="76"/>
      <c r="M183" s="78"/>
      <c r="N183" s="76"/>
      <c r="O183" s="76"/>
      <c r="P183" s="76"/>
      <c r="Q183" s="76"/>
    </row>
    <row r="184" spans="1:17" s="91" customFormat="1" ht="12" customHeight="1" x14ac:dyDescent="0.3">
      <c r="A184" s="76"/>
      <c r="B184" s="223"/>
      <c r="C184" s="76"/>
      <c r="D184" s="76"/>
      <c r="E184" s="76"/>
      <c r="F184" s="76"/>
      <c r="G184" s="76"/>
      <c r="H184" s="76"/>
      <c r="I184" s="76"/>
      <c r="J184" s="214"/>
      <c r="K184" s="157"/>
      <c r="L184" s="76"/>
      <c r="M184" s="78"/>
      <c r="N184" s="76"/>
      <c r="O184" s="76"/>
      <c r="P184" s="76"/>
      <c r="Q184" s="76"/>
    </row>
    <row r="185" spans="1:17" s="91" customFormat="1" ht="12" customHeight="1" x14ac:dyDescent="0.3">
      <c r="A185" s="76"/>
      <c r="B185" s="223"/>
      <c r="C185" s="76"/>
      <c r="D185" s="76"/>
      <c r="E185" s="76"/>
      <c r="F185" s="76"/>
      <c r="G185" s="76"/>
      <c r="H185" s="76"/>
      <c r="I185" s="76"/>
      <c r="J185" s="214"/>
      <c r="K185" s="157"/>
      <c r="L185" s="76"/>
      <c r="M185" s="78"/>
      <c r="N185" s="76"/>
      <c r="O185" s="76"/>
      <c r="P185" s="76"/>
      <c r="Q185" s="76"/>
    </row>
    <row r="186" spans="1:17" s="91" customFormat="1" ht="12" customHeight="1" x14ac:dyDescent="0.3">
      <c r="A186" s="76"/>
      <c r="B186" s="223"/>
      <c r="C186" s="76"/>
      <c r="D186" s="76"/>
      <c r="E186" s="76"/>
      <c r="F186" s="76"/>
      <c r="G186" s="76"/>
      <c r="H186" s="76"/>
      <c r="I186" s="76"/>
      <c r="J186" s="214"/>
      <c r="K186" s="157"/>
      <c r="L186" s="76"/>
      <c r="M186" s="78"/>
      <c r="N186" s="76"/>
      <c r="O186" s="76"/>
      <c r="P186" s="76"/>
      <c r="Q186" s="76"/>
    </row>
    <row r="187" spans="1:17" s="91" customFormat="1" ht="12" customHeight="1" x14ac:dyDescent="0.3">
      <c r="A187" s="76"/>
      <c r="B187" s="223"/>
      <c r="C187" s="76"/>
      <c r="D187" s="76"/>
      <c r="E187" s="76"/>
      <c r="F187" s="76"/>
      <c r="G187" s="76"/>
      <c r="H187" s="76"/>
      <c r="I187" s="76"/>
      <c r="J187" s="214"/>
      <c r="K187" s="157"/>
      <c r="L187" s="76"/>
      <c r="M187" s="78"/>
      <c r="N187" s="76"/>
      <c r="O187" s="76"/>
      <c r="P187" s="76"/>
      <c r="Q187" s="76"/>
    </row>
    <row r="188" spans="1:17" s="91" customFormat="1" ht="12" customHeight="1" x14ac:dyDescent="0.3">
      <c r="A188" s="76"/>
      <c r="B188" s="223"/>
      <c r="C188" s="76"/>
      <c r="D188" s="76"/>
      <c r="E188" s="76"/>
      <c r="F188" s="76"/>
      <c r="G188" s="76"/>
      <c r="H188" s="76"/>
      <c r="I188" s="76"/>
      <c r="J188" s="214"/>
      <c r="K188" s="157"/>
      <c r="L188" s="76"/>
      <c r="M188" s="78"/>
      <c r="N188" s="76"/>
      <c r="O188" s="76"/>
      <c r="P188" s="76"/>
      <c r="Q188" s="76"/>
    </row>
    <row r="189" spans="1:17" s="91" customFormat="1" ht="12" customHeight="1" x14ac:dyDescent="0.3">
      <c r="A189" s="76"/>
      <c r="B189" s="223"/>
      <c r="C189" s="76"/>
      <c r="D189" s="76"/>
      <c r="E189" s="76"/>
      <c r="F189" s="76"/>
      <c r="G189" s="76"/>
      <c r="H189" s="76"/>
      <c r="I189" s="76"/>
      <c r="J189" s="214"/>
      <c r="K189" s="157"/>
      <c r="L189" s="76"/>
      <c r="M189" s="78"/>
      <c r="N189" s="76"/>
      <c r="O189" s="76"/>
      <c r="P189" s="76"/>
      <c r="Q189" s="76"/>
    </row>
    <row r="190" spans="1:17" s="91" customFormat="1" ht="12" customHeight="1" x14ac:dyDescent="0.3">
      <c r="A190" s="76"/>
      <c r="B190" s="223"/>
      <c r="C190" s="76"/>
      <c r="D190" s="76"/>
      <c r="E190" s="76"/>
      <c r="F190" s="76"/>
      <c r="G190" s="76"/>
      <c r="H190" s="76"/>
      <c r="I190" s="76"/>
      <c r="J190" s="214"/>
      <c r="K190" s="157"/>
      <c r="L190" s="76"/>
      <c r="M190" s="78"/>
      <c r="N190" s="76"/>
      <c r="O190" s="76"/>
      <c r="P190" s="76"/>
      <c r="Q190" s="76"/>
    </row>
    <row r="191" spans="1:17" s="91" customFormat="1" ht="12" customHeight="1" x14ac:dyDescent="0.3">
      <c r="A191" s="76"/>
      <c r="B191" s="223"/>
      <c r="C191" s="76"/>
      <c r="D191" s="76"/>
      <c r="E191" s="76"/>
      <c r="F191" s="76"/>
      <c r="G191" s="76"/>
      <c r="H191" s="76"/>
      <c r="I191" s="76"/>
      <c r="J191" s="214"/>
      <c r="K191" s="157"/>
      <c r="L191" s="76"/>
      <c r="M191" s="78"/>
      <c r="N191" s="76"/>
      <c r="O191" s="76"/>
      <c r="P191" s="76"/>
      <c r="Q191" s="76"/>
    </row>
    <row r="192" spans="1:17" s="91" customFormat="1" ht="12" customHeight="1" x14ac:dyDescent="0.3">
      <c r="A192" s="76"/>
      <c r="B192" s="223"/>
      <c r="C192" s="76"/>
      <c r="D192" s="76"/>
      <c r="E192" s="76"/>
      <c r="F192" s="76"/>
      <c r="G192" s="76"/>
      <c r="H192" s="76"/>
      <c r="I192" s="76"/>
      <c r="J192" s="214"/>
      <c r="K192" s="157"/>
      <c r="L192" s="76"/>
      <c r="M192" s="78"/>
      <c r="N192" s="76"/>
      <c r="O192" s="76"/>
      <c r="P192" s="76"/>
      <c r="Q192" s="76"/>
    </row>
    <row r="193" spans="1:17" s="91" customFormat="1" ht="12" customHeight="1" x14ac:dyDescent="0.3">
      <c r="A193" s="76"/>
      <c r="B193" s="223"/>
      <c r="C193" s="76"/>
      <c r="D193" s="76"/>
      <c r="E193" s="76"/>
      <c r="F193" s="76"/>
      <c r="G193" s="76"/>
      <c r="H193" s="76"/>
      <c r="I193" s="76"/>
      <c r="J193" s="214"/>
      <c r="K193" s="157"/>
      <c r="L193" s="76"/>
      <c r="M193" s="78"/>
      <c r="N193" s="76"/>
      <c r="O193" s="76"/>
      <c r="P193" s="76"/>
      <c r="Q193" s="76"/>
    </row>
    <row r="194" spans="1:17" s="91" customFormat="1" ht="12" customHeight="1" x14ac:dyDescent="0.3">
      <c r="A194" s="76"/>
      <c r="B194" s="223"/>
      <c r="C194" s="76"/>
      <c r="D194" s="76"/>
      <c r="E194" s="76"/>
      <c r="F194" s="76"/>
      <c r="G194" s="76"/>
      <c r="H194" s="76"/>
      <c r="I194" s="76"/>
      <c r="J194" s="214"/>
      <c r="K194" s="157"/>
      <c r="L194" s="76"/>
      <c r="M194" s="78"/>
      <c r="N194" s="76"/>
      <c r="O194" s="76"/>
      <c r="P194" s="76"/>
      <c r="Q194" s="76"/>
    </row>
    <row r="195" spans="1:17" s="91" customFormat="1" ht="12" customHeight="1" x14ac:dyDescent="0.3">
      <c r="A195" s="76"/>
      <c r="B195" s="223"/>
      <c r="C195" s="76"/>
      <c r="D195" s="76"/>
      <c r="E195" s="76"/>
      <c r="F195" s="76"/>
      <c r="G195" s="76"/>
      <c r="H195" s="76"/>
      <c r="I195" s="76"/>
      <c r="J195" s="214"/>
      <c r="K195" s="157"/>
      <c r="L195" s="76"/>
      <c r="M195" s="78"/>
      <c r="N195" s="76"/>
      <c r="O195" s="76"/>
      <c r="P195" s="76"/>
      <c r="Q195" s="76"/>
    </row>
    <row r="196" spans="1:17" s="91" customFormat="1" ht="12" customHeight="1" x14ac:dyDescent="0.3">
      <c r="A196" s="76"/>
      <c r="B196" s="223"/>
      <c r="C196" s="76"/>
      <c r="D196" s="76"/>
      <c r="E196" s="76"/>
      <c r="F196" s="76"/>
      <c r="G196" s="76"/>
      <c r="H196" s="76"/>
      <c r="I196" s="76"/>
      <c r="J196" s="214"/>
      <c r="K196" s="157"/>
      <c r="L196" s="76"/>
      <c r="M196" s="78"/>
      <c r="N196" s="76"/>
      <c r="O196" s="76"/>
      <c r="P196" s="76"/>
      <c r="Q196" s="76"/>
    </row>
    <row r="197" spans="1:17" s="91" customFormat="1" ht="12" customHeight="1" x14ac:dyDescent="0.3">
      <c r="A197" s="76"/>
      <c r="B197" s="223"/>
      <c r="C197" s="76"/>
      <c r="D197" s="76"/>
      <c r="E197" s="76"/>
      <c r="F197" s="76"/>
      <c r="G197" s="76"/>
      <c r="H197" s="76"/>
      <c r="I197" s="76"/>
      <c r="J197" s="214"/>
      <c r="K197" s="157"/>
      <c r="L197" s="76"/>
      <c r="M197" s="78"/>
      <c r="N197" s="76"/>
      <c r="O197" s="76"/>
      <c r="P197" s="76"/>
      <c r="Q197" s="76"/>
    </row>
    <row r="198" spans="1:17" s="91" customFormat="1" ht="12" customHeight="1" x14ac:dyDescent="0.3">
      <c r="A198" s="76"/>
      <c r="B198" s="223"/>
      <c r="C198" s="76"/>
      <c r="D198" s="76"/>
      <c r="E198" s="76"/>
      <c r="F198" s="76"/>
      <c r="G198" s="76"/>
      <c r="H198" s="76"/>
      <c r="I198" s="76"/>
      <c r="J198" s="214"/>
      <c r="K198" s="157"/>
      <c r="L198" s="76"/>
      <c r="M198" s="78"/>
      <c r="N198" s="76"/>
      <c r="O198" s="76"/>
      <c r="P198" s="76"/>
      <c r="Q198" s="76"/>
    </row>
    <row r="199" spans="1:17" s="91" customFormat="1" ht="12" customHeight="1" x14ac:dyDescent="0.3">
      <c r="A199" s="76"/>
      <c r="B199" s="223"/>
      <c r="C199" s="76"/>
      <c r="D199" s="76"/>
      <c r="E199" s="76"/>
      <c r="F199" s="76"/>
      <c r="G199" s="76"/>
      <c r="H199" s="76"/>
      <c r="I199" s="76"/>
      <c r="J199" s="214"/>
      <c r="K199" s="157"/>
      <c r="L199" s="76"/>
      <c r="M199" s="78"/>
      <c r="N199" s="76"/>
      <c r="O199" s="76"/>
      <c r="P199" s="76"/>
      <c r="Q199" s="76"/>
    </row>
    <row r="200" spans="1:17" s="91" customFormat="1" ht="12" customHeight="1" x14ac:dyDescent="0.3">
      <c r="A200" s="76"/>
      <c r="B200" s="223"/>
      <c r="C200" s="76"/>
      <c r="D200" s="76"/>
      <c r="E200" s="76"/>
      <c r="F200" s="76"/>
      <c r="G200" s="76"/>
      <c r="H200" s="76"/>
      <c r="I200" s="76"/>
      <c r="J200" s="214"/>
      <c r="K200" s="157"/>
      <c r="L200" s="76"/>
      <c r="M200" s="78"/>
      <c r="N200" s="76"/>
      <c r="O200" s="76"/>
      <c r="P200" s="76"/>
      <c r="Q200" s="76"/>
    </row>
    <row r="201" spans="1:17" s="91" customFormat="1" ht="12" customHeight="1" x14ac:dyDescent="0.3">
      <c r="A201" s="76"/>
      <c r="B201" s="223"/>
      <c r="C201" s="76"/>
      <c r="D201" s="76"/>
      <c r="E201" s="76"/>
      <c r="F201" s="76"/>
      <c r="G201" s="76"/>
      <c r="H201" s="76"/>
      <c r="I201" s="76"/>
      <c r="J201" s="214"/>
      <c r="K201" s="157"/>
      <c r="L201" s="76"/>
      <c r="M201" s="78"/>
      <c r="N201" s="76"/>
      <c r="O201" s="76"/>
      <c r="P201" s="76"/>
      <c r="Q201" s="76"/>
    </row>
    <row r="202" spans="1:17" s="91" customFormat="1" ht="12" customHeight="1" x14ac:dyDescent="0.3">
      <c r="A202" s="76"/>
      <c r="B202" s="223"/>
      <c r="C202" s="76"/>
      <c r="D202" s="76"/>
      <c r="E202" s="76"/>
      <c r="F202" s="76"/>
      <c r="G202" s="76"/>
      <c r="H202" s="76"/>
      <c r="I202" s="76"/>
      <c r="J202" s="214"/>
      <c r="K202" s="157"/>
      <c r="L202" s="76"/>
      <c r="M202" s="78"/>
      <c r="N202" s="76"/>
      <c r="O202" s="76"/>
      <c r="P202" s="76"/>
      <c r="Q202" s="76"/>
    </row>
    <row r="203" spans="1:17" s="91" customFormat="1" ht="12" customHeight="1" x14ac:dyDescent="0.3">
      <c r="A203" s="76"/>
      <c r="B203" s="223"/>
      <c r="C203" s="76"/>
      <c r="D203" s="76"/>
      <c r="E203" s="76"/>
      <c r="F203" s="76"/>
      <c r="G203" s="76"/>
      <c r="H203" s="76"/>
      <c r="I203" s="76"/>
      <c r="J203" s="214"/>
      <c r="K203" s="157"/>
      <c r="L203" s="76"/>
      <c r="M203" s="78"/>
      <c r="N203" s="76"/>
      <c r="O203" s="76"/>
      <c r="P203" s="76"/>
      <c r="Q203" s="76"/>
    </row>
    <row r="204" spans="1:17" s="91" customFormat="1" ht="12" customHeight="1" x14ac:dyDescent="0.3">
      <c r="A204" s="76"/>
      <c r="B204" s="223"/>
      <c r="C204" s="76"/>
      <c r="D204" s="76"/>
      <c r="E204" s="76"/>
      <c r="F204" s="76"/>
      <c r="G204" s="76"/>
      <c r="H204" s="76"/>
      <c r="I204" s="76"/>
      <c r="J204" s="214"/>
      <c r="K204" s="157"/>
      <c r="L204" s="76"/>
      <c r="M204" s="78"/>
      <c r="N204" s="76"/>
      <c r="O204" s="76"/>
      <c r="P204" s="76"/>
      <c r="Q204" s="76"/>
    </row>
    <row r="205" spans="1:17" s="91" customFormat="1" ht="12" customHeight="1" x14ac:dyDescent="0.3">
      <c r="A205" s="76"/>
      <c r="B205" s="223"/>
      <c r="C205" s="76"/>
      <c r="D205" s="76"/>
      <c r="E205" s="76"/>
      <c r="F205" s="76"/>
      <c r="G205" s="76"/>
      <c r="H205" s="76"/>
      <c r="I205" s="76"/>
      <c r="J205" s="214"/>
      <c r="K205" s="157"/>
      <c r="L205" s="76"/>
      <c r="M205" s="78"/>
      <c r="N205" s="76"/>
      <c r="O205" s="76"/>
      <c r="P205" s="76"/>
      <c r="Q205" s="76"/>
    </row>
    <row r="206" spans="1:17" s="91" customFormat="1" ht="12" customHeight="1" x14ac:dyDescent="0.3">
      <c r="A206" s="76"/>
      <c r="B206" s="223"/>
      <c r="C206" s="76"/>
      <c r="D206" s="76"/>
      <c r="E206" s="76"/>
      <c r="F206" s="76"/>
      <c r="G206" s="76"/>
      <c r="H206" s="76"/>
      <c r="I206" s="76"/>
      <c r="J206" s="214"/>
      <c r="K206" s="157"/>
      <c r="L206" s="76"/>
      <c r="M206" s="78"/>
      <c r="N206" s="76"/>
      <c r="O206" s="76"/>
      <c r="P206" s="76"/>
      <c r="Q206" s="76"/>
    </row>
    <row r="207" spans="1:17" s="91" customFormat="1" ht="12" customHeight="1" x14ac:dyDescent="0.3">
      <c r="A207" s="76"/>
      <c r="B207" s="223"/>
      <c r="C207" s="76"/>
      <c r="D207" s="76"/>
      <c r="E207" s="76"/>
      <c r="F207" s="76"/>
      <c r="G207" s="76"/>
      <c r="H207" s="76"/>
      <c r="I207" s="76"/>
      <c r="J207" s="214"/>
      <c r="K207" s="157"/>
      <c r="L207" s="76"/>
      <c r="M207" s="78"/>
      <c r="N207" s="76"/>
      <c r="O207" s="76"/>
      <c r="P207" s="76"/>
      <c r="Q207" s="76"/>
    </row>
    <row r="208" spans="1:17" s="91" customFormat="1" ht="12" customHeight="1" x14ac:dyDescent="0.3">
      <c r="A208" s="76"/>
      <c r="B208" s="223"/>
      <c r="C208" s="76"/>
      <c r="D208" s="76"/>
      <c r="E208" s="76"/>
      <c r="F208" s="76"/>
      <c r="G208" s="76"/>
      <c r="H208" s="76"/>
      <c r="I208" s="76"/>
      <c r="J208" s="214"/>
      <c r="K208" s="157"/>
      <c r="L208" s="76"/>
      <c r="M208" s="78"/>
      <c r="N208" s="76"/>
      <c r="O208" s="76"/>
      <c r="P208" s="76"/>
      <c r="Q208" s="76"/>
    </row>
    <row r="209" spans="1:17" s="91" customFormat="1" ht="12" customHeight="1" x14ac:dyDescent="0.3">
      <c r="A209" s="76"/>
      <c r="B209" s="223"/>
      <c r="C209" s="76"/>
      <c r="D209" s="76"/>
      <c r="E209" s="76"/>
      <c r="F209" s="76"/>
      <c r="G209" s="76"/>
      <c r="H209" s="76"/>
      <c r="I209" s="76"/>
      <c r="J209" s="214"/>
      <c r="K209" s="157"/>
      <c r="L209" s="76"/>
      <c r="M209" s="78"/>
      <c r="N209" s="76"/>
      <c r="O209" s="76"/>
      <c r="P209" s="76"/>
      <c r="Q209" s="76"/>
    </row>
    <row r="210" spans="1:17" s="91" customFormat="1" ht="12" customHeight="1" x14ac:dyDescent="0.3">
      <c r="A210" s="76"/>
      <c r="B210" s="223"/>
      <c r="C210" s="76"/>
      <c r="D210" s="76"/>
      <c r="E210" s="76"/>
      <c r="F210" s="76"/>
      <c r="G210" s="76"/>
      <c r="H210" s="76"/>
      <c r="I210" s="76"/>
      <c r="J210" s="214"/>
      <c r="K210" s="157"/>
      <c r="L210" s="76"/>
      <c r="M210" s="78"/>
      <c r="N210" s="76"/>
      <c r="O210" s="76"/>
      <c r="P210" s="76"/>
      <c r="Q210" s="76"/>
    </row>
    <row r="211" spans="1:17" s="91" customFormat="1" ht="12" customHeight="1" x14ac:dyDescent="0.3">
      <c r="A211" s="76"/>
      <c r="B211" s="223"/>
      <c r="C211" s="76"/>
      <c r="D211" s="76"/>
      <c r="E211" s="76"/>
      <c r="F211" s="76"/>
      <c r="G211" s="76"/>
      <c r="H211" s="76"/>
      <c r="I211" s="76"/>
      <c r="J211" s="214"/>
      <c r="K211" s="157"/>
      <c r="L211" s="76"/>
      <c r="M211" s="78"/>
      <c r="N211" s="76"/>
      <c r="O211" s="76"/>
      <c r="P211" s="76"/>
      <c r="Q211" s="76"/>
    </row>
    <row r="212" spans="1:17" s="91" customFormat="1" ht="12" customHeight="1" x14ac:dyDescent="0.3">
      <c r="A212" s="76"/>
      <c r="B212" s="223"/>
      <c r="C212" s="76"/>
      <c r="D212" s="76"/>
      <c r="E212" s="76"/>
      <c r="F212" s="76"/>
      <c r="G212" s="76"/>
      <c r="H212" s="76"/>
      <c r="I212" s="76"/>
      <c r="J212" s="214"/>
      <c r="K212" s="157"/>
      <c r="L212" s="76"/>
      <c r="M212" s="78"/>
      <c r="N212" s="76"/>
      <c r="O212" s="76"/>
      <c r="P212" s="76"/>
      <c r="Q212" s="76"/>
    </row>
    <row r="213" spans="1:17" s="91" customFormat="1" ht="12" customHeight="1" x14ac:dyDescent="0.3">
      <c r="A213" s="76"/>
      <c r="B213" s="223"/>
      <c r="C213" s="76"/>
      <c r="D213" s="76"/>
      <c r="E213" s="76"/>
      <c r="F213" s="76"/>
      <c r="G213" s="76"/>
      <c r="H213" s="76"/>
      <c r="I213" s="76"/>
      <c r="J213" s="214"/>
      <c r="K213" s="157"/>
      <c r="L213" s="76"/>
      <c r="M213" s="78"/>
      <c r="N213" s="76"/>
      <c r="O213" s="76"/>
      <c r="P213" s="76"/>
      <c r="Q213" s="76"/>
    </row>
    <row r="214" spans="1:17" s="91" customFormat="1" ht="12" customHeight="1" x14ac:dyDescent="0.3">
      <c r="A214" s="76"/>
      <c r="B214" s="223"/>
      <c r="C214" s="76"/>
      <c r="D214" s="76"/>
      <c r="E214" s="76"/>
      <c r="F214" s="76"/>
      <c r="G214" s="76"/>
      <c r="H214" s="76"/>
      <c r="I214" s="76"/>
      <c r="J214" s="214"/>
      <c r="K214" s="157"/>
      <c r="L214" s="76"/>
      <c r="M214" s="78"/>
      <c r="N214" s="76"/>
      <c r="O214" s="76"/>
      <c r="P214" s="76"/>
      <c r="Q214" s="76"/>
    </row>
    <row r="215" spans="1:17" s="91" customFormat="1" ht="12" customHeight="1" x14ac:dyDescent="0.3">
      <c r="A215" s="76"/>
      <c r="B215" s="223"/>
      <c r="C215" s="76"/>
      <c r="D215" s="76"/>
      <c r="E215" s="76"/>
      <c r="F215" s="76"/>
      <c r="G215" s="76"/>
      <c r="H215" s="76"/>
      <c r="I215" s="76"/>
      <c r="J215" s="214"/>
      <c r="K215" s="157"/>
      <c r="L215" s="76"/>
      <c r="M215" s="78"/>
      <c r="N215" s="76"/>
      <c r="O215" s="76"/>
      <c r="P215" s="76"/>
      <c r="Q215" s="76"/>
    </row>
    <row r="216" spans="1:17" s="91" customFormat="1" ht="12" customHeight="1" x14ac:dyDescent="0.3">
      <c r="A216" s="76"/>
      <c r="B216" s="223"/>
      <c r="C216" s="76"/>
      <c r="D216" s="76"/>
      <c r="E216" s="76"/>
      <c r="F216" s="76"/>
      <c r="G216" s="76"/>
      <c r="H216" s="76"/>
      <c r="I216" s="76"/>
      <c r="J216" s="214"/>
      <c r="K216" s="157"/>
      <c r="L216" s="76"/>
      <c r="M216" s="78"/>
      <c r="N216" s="76"/>
      <c r="O216" s="76"/>
      <c r="P216" s="76"/>
      <c r="Q216" s="76"/>
    </row>
    <row r="217" spans="1:17" s="91" customFormat="1" ht="12" customHeight="1" x14ac:dyDescent="0.3">
      <c r="A217" s="76"/>
      <c r="B217" s="223"/>
      <c r="C217" s="76"/>
      <c r="D217" s="76"/>
      <c r="E217" s="76"/>
      <c r="F217" s="76"/>
      <c r="G217" s="76"/>
      <c r="H217" s="76"/>
      <c r="I217" s="76"/>
      <c r="J217" s="214"/>
      <c r="K217" s="157"/>
      <c r="L217" s="76"/>
      <c r="M217" s="78"/>
      <c r="N217" s="76"/>
      <c r="O217" s="76"/>
      <c r="P217" s="76"/>
      <c r="Q217" s="76"/>
    </row>
    <row r="218" spans="1:17" s="91" customFormat="1" ht="12" customHeight="1" x14ac:dyDescent="0.3">
      <c r="A218" s="76"/>
      <c r="B218" s="223"/>
      <c r="C218" s="76"/>
      <c r="D218" s="76"/>
      <c r="E218" s="76"/>
      <c r="F218" s="76"/>
      <c r="G218" s="76"/>
      <c r="H218" s="76"/>
      <c r="I218" s="76"/>
      <c r="J218" s="214"/>
      <c r="K218" s="157"/>
      <c r="L218" s="76"/>
      <c r="M218" s="78"/>
      <c r="N218" s="76"/>
      <c r="O218" s="76"/>
      <c r="P218" s="76"/>
      <c r="Q218" s="76"/>
    </row>
    <row r="219" spans="1:17" s="91" customFormat="1" ht="13.5" customHeight="1" x14ac:dyDescent="0.3">
      <c r="A219" s="76"/>
      <c r="B219" s="223"/>
      <c r="C219" s="76"/>
      <c r="D219" s="76"/>
      <c r="E219" s="76"/>
      <c r="F219" s="76"/>
      <c r="G219" s="76"/>
      <c r="H219" s="76"/>
      <c r="I219" s="76"/>
      <c r="J219" s="214"/>
      <c r="K219" s="157"/>
      <c r="L219" s="76"/>
      <c r="M219" s="78"/>
      <c r="N219" s="76"/>
      <c r="O219" s="76"/>
      <c r="P219" s="76"/>
      <c r="Q219" s="76"/>
    </row>
    <row r="220" spans="1:17" s="91" customFormat="1" ht="12" customHeight="1" x14ac:dyDescent="0.3">
      <c r="A220" s="76"/>
      <c r="B220" s="223"/>
      <c r="C220" s="76"/>
      <c r="D220" s="76"/>
      <c r="E220" s="76"/>
      <c r="F220" s="76"/>
      <c r="G220" s="76"/>
      <c r="H220" s="76"/>
      <c r="I220" s="76"/>
      <c r="J220" s="214"/>
      <c r="K220" s="157"/>
      <c r="L220" s="76"/>
      <c r="M220" s="78"/>
      <c r="N220" s="76"/>
      <c r="O220" s="76"/>
      <c r="P220" s="76"/>
      <c r="Q220" s="76"/>
    </row>
    <row r="221" spans="1:17" s="91" customFormat="1" ht="12" customHeight="1" x14ac:dyDescent="0.3">
      <c r="A221" s="76"/>
      <c r="B221" s="223"/>
      <c r="C221" s="76"/>
      <c r="D221" s="76"/>
      <c r="E221" s="76"/>
      <c r="F221" s="76"/>
      <c r="G221" s="76"/>
      <c r="H221" s="76"/>
      <c r="I221" s="76"/>
      <c r="J221" s="214"/>
      <c r="K221" s="157"/>
      <c r="L221" s="76"/>
      <c r="M221" s="78"/>
      <c r="N221" s="76"/>
      <c r="O221" s="76"/>
      <c r="P221" s="76"/>
      <c r="Q221" s="76"/>
    </row>
    <row r="222" spans="1:17" s="91" customFormat="1" ht="12" customHeight="1" x14ac:dyDescent="0.3">
      <c r="A222" s="76"/>
      <c r="B222" s="223"/>
      <c r="C222" s="76"/>
      <c r="D222" s="76"/>
      <c r="E222" s="76"/>
      <c r="F222" s="76"/>
      <c r="G222" s="76"/>
      <c r="H222" s="76"/>
      <c r="I222" s="76"/>
      <c r="J222" s="214"/>
      <c r="K222" s="157"/>
      <c r="L222" s="76"/>
      <c r="M222" s="78"/>
      <c r="N222" s="76"/>
      <c r="O222" s="76"/>
      <c r="P222" s="76"/>
      <c r="Q222" s="76"/>
    </row>
    <row r="223" spans="1:17" s="91" customFormat="1" ht="12" customHeight="1" x14ac:dyDescent="0.3">
      <c r="A223" s="76"/>
      <c r="B223" s="223"/>
      <c r="C223" s="76"/>
      <c r="D223" s="76"/>
      <c r="E223" s="76"/>
      <c r="F223" s="76"/>
      <c r="G223" s="76"/>
      <c r="H223" s="76"/>
      <c r="I223" s="76"/>
      <c r="J223" s="214"/>
      <c r="K223" s="157"/>
      <c r="L223" s="76"/>
      <c r="M223" s="78"/>
      <c r="N223" s="76"/>
      <c r="O223" s="76"/>
      <c r="P223" s="76"/>
      <c r="Q223" s="76"/>
    </row>
    <row r="224" spans="1:17" s="91" customFormat="1" ht="12" customHeight="1" x14ac:dyDescent="0.3">
      <c r="A224" s="76"/>
      <c r="B224" s="223"/>
      <c r="C224" s="76"/>
      <c r="D224" s="76"/>
      <c r="E224" s="76"/>
      <c r="F224" s="76"/>
      <c r="G224" s="76"/>
      <c r="H224" s="76"/>
      <c r="I224" s="76"/>
      <c r="J224" s="214"/>
      <c r="K224" s="157"/>
      <c r="L224" s="76"/>
      <c r="M224" s="78"/>
      <c r="N224" s="76"/>
      <c r="O224" s="76"/>
      <c r="P224" s="76"/>
      <c r="Q224" s="76"/>
    </row>
    <row r="225" spans="1:17" s="91" customFormat="1" ht="12" customHeight="1" x14ac:dyDescent="0.3">
      <c r="A225" s="76"/>
      <c r="B225" s="223"/>
      <c r="C225" s="76"/>
      <c r="D225" s="76"/>
      <c r="E225" s="76"/>
      <c r="F225" s="76"/>
      <c r="G225" s="76"/>
      <c r="H225" s="76"/>
      <c r="I225" s="76"/>
      <c r="J225" s="214"/>
      <c r="K225" s="157"/>
      <c r="L225" s="76"/>
      <c r="M225" s="78"/>
      <c r="N225" s="76"/>
      <c r="O225" s="76"/>
      <c r="P225" s="76"/>
      <c r="Q225" s="76"/>
    </row>
    <row r="226" spans="1:17" s="91" customFormat="1" ht="12" customHeight="1" x14ac:dyDescent="0.3">
      <c r="A226" s="76"/>
      <c r="B226" s="223"/>
      <c r="C226" s="76"/>
      <c r="D226" s="76"/>
      <c r="E226" s="76"/>
      <c r="F226" s="76"/>
      <c r="G226" s="76"/>
      <c r="H226" s="76"/>
      <c r="I226" s="76"/>
      <c r="J226" s="214"/>
      <c r="K226" s="157"/>
      <c r="L226" s="76"/>
      <c r="M226" s="78"/>
      <c r="N226" s="76"/>
      <c r="O226" s="76"/>
      <c r="P226" s="76"/>
      <c r="Q226" s="76"/>
    </row>
    <row r="227" spans="1:17" s="91" customFormat="1" ht="12" customHeight="1" x14ac:dyDescent="0.3">
      <c r="A227" s="76"/>
      <c r="B227" s="223"/>
      <c r="C227" s="76"/>
      <c r="D227" s="76"/>
      <c r="E227" s="76"/>
      <c r="F227" s="76"/>
      <c r="G227" s="76"/>
      <c r="H227" s="76"/>
      <c r="I227" s="76"/>
      <c r="J227" s="214"/>
      <c r="K227" s="157"/>
      <c r="L227" s="76"/>
      <c r="M227" s="78"/>
      <c r="N227" s="76"/>
      <c r="O227" s="76"/>
      <c r="P227" s="76"/>
      <c r="Q227" s="76"/>
    </row>
    <row r="228" spans="1:17" s="91" customFormat="1" ht="12" customHeight="1" x14ac:dyDescent="0.3">
      <c r="A228" s="76"/>
      <c r="B228" s="223"/>
      <c r="C228" s="76"/>
      <c r="D228" s="76"/>
      <c r="E228" s="76"/>
      <c r="F228" s="76"/>
      <c r="G228" s="76"/>
      <c r="H228" s="76"/>
      <c r="I228" s="76"/>
      <c r="J228" s="214"/>
      <c r="K228" s="157"/>
      <c r="L228" s="76"/>
      <c r="M228" s="78"/>
      <c r="N228" s="76"/>
      <c r="O228" s="76"/>
      <c r="P228" s="76"/>
      <c r="Q228" s="76"/>
    </row>
    <row r="229" spans="1:17" s="91" customFormat="1" ht="12" customHeight="1" x14ac:dyDescent="0.3">
      <c r="A229" s="76"/>
      <c r="B229" s="223"/>
      <c r="C229" s="76"/>
      <c r="D229" s="76"/>
      <c r="E229" s="76"/>
      <c r="F229" s="76"/>
      <c r="G229" s="76"/>
      <c r="H229" s="76"/>
      <c r="I229" s="76"/>
      <c r="J229" s="214"/>
      <c r="K229" s="157"/>
      <c r="L229" s="76"/>
      <c r="M229" s="78"/>
      <c r="N229" s="76"/>
      <c r="O229" s="76"/>
      <c r="P229" s="76"/>
      <c r="Q229" s="76"/>
    </row>
    <row r="230" spans="1:17" s="91" customFormat="1" ht="12" customHeight="1" x14ac:dyDescent="0.3">
      <c r="A230" s="76"/>
      <c r="B230" s="223"/>
      <c r="C230" s="76"/>
      <c r="D230" s="76"/>
      <c r="E230" s="76"/>
      <c r="F230" s="76"/>
      <c r="G230" s="76"/>
      <c r="H230" s="76"/>
      <c r="I230" s="76"/>
      <c r="J230" s="214"/>
      <c r="K230" s="157"/>
      <c r="L230" s="76"/>
      <c r="M230" s="78"/>
      <c r="N230" s="76"/>
      <c r="O230" s="76"/>
      <c r="P230" s="76"/>
      <c r="Q230" s="76"/>
    </row>
    <row r="231" spans="1:17" s="91" customFormat="1" ht="12" customHeight="1" x14ac:dyDescent="0.3">
      <c r="A231" s="109"/>
      <c r="B231" s="223"/>
      <c r="C231" s="76"/>
      <c r="D231" s="76"/>
      <c r="E231" s="76"/>
      <c r="F231" s="76"/>
      <c r="G231" s="76"/>
      <c r="H231" s="76"/>
      <c r="I231" s="76"/>
      <c r="J231" s="214"/>
      <c r="K231" s="157"/>
      <c r="L231" s="76"/>
      <c r="M231" s="78"/>
      <c r="N231" s="76"/>
      <c r="O231" s="76"/>
      <c r="P231" s="76"/>
      <c r="Q231" s="76"/>
    </row>
    <row r="232" spans="1:17" s="91" customFormat="1" ht="12" customHeight="1" x14ac:dyDescent="0.3">
      <c r="A232" s="109"/>
      <c r="B232" s="223"/>
      <c r="C232" s="76"/>
      <c r="D232" s="76"/>
      <c r="E232" s="76"/>
      <c r="F232" s="76"/>
      <c r="G232" s="76"/>
      <c r="H232" s="76"/>
      <c r="I232" s="76"/>
      <c r="J232" s="214"/>
      <c r="K232" s="157"/>
      <c r="L232" s="76"/>
      <c r="M232" s="78"/>
      <c r="N232" s="76"/>
      <c r="O232" s="76"/>
      <c r="P232" s="76"/>
      <c r="Q232" s="76"/>
    </row>
    <row r="233" spans="1:17" s="91" customFormat="1" ht="12" customHeight="1" x14ac:dyDescent="0.3">
      <c r="A233" s="109"/>
      <c r="B233" s="109"/>
      <c r="C233" s="109"/>
      <c r="D233" s="110"/>
      <c r="E233" s="76"/>
      <c r="F233" s="76"/>
      <c r="G233" s="76"/>
      <c r="H233" s="76"/>
      <c r="I233" s="76"/>
      <c r="J233" s="214"/>
      <c r="K233" s="157"/>
      <c r="L233" s="76"/>
      <c r="M233" s="78"/>
      <c r="N233" s="76"/>
      <c r="O233" s="76"/>
      <c r="P233" s="76"/>
      <c r="Q233" s="76"/>
    </row>
    <row r="234" spans="1:17" s="91" customFormat="1" ht="12" customHeight="1" x14ac:dyDescent="0.3">
      <c r="A234" s="109"/>
      <c r="B234" s="109"/>
      <c r="C234" s="109"/>
      <c r="D234" s="110"/>
      <c r="E234" s="76"/>
      <c r="F234" s="76"/>
      <c r="G234" s="76"/>
      <c r="H234" s="76"/>
      <c r="I234" s="76"/>
      <c r="J234" s="214"/>
      <c r="K234" s="157"/>
      <c r="L234" s="76"/>
      <c r="M234" s="78"/>
      <c r="N234" s="76"/>
      <c r="O234" s="76"/>
      <c r="P234" s="76"/>
      <c r="Q234" s="76"/>
    </row>
    <row r="235" spans="1:17" s="91" customFormat="1" ht="12" customHeight="1" x14ac:dyDescent="0.3">
      <c r="A235" s="109"/>
      <c r="B235" s="109"/>
      <c r="C235" s="109"/>
      <c r="D235" s="110"/>
      <c r="E235" s="76"/>
      <c r="F235" s="76"/>
      <c r="G235" s="76"/>
      <c r="H235" s="76"/>
      <c r="I235" s="76"/>
      <c r="J235" s="214"/>
      <c r="K235" s="157"/>
      <c r="L235" s="76"/>
      <c r="M235" s="78"/>
      <c r="N235" s="76"/>
      <c r="O235" s="76"/>
      <c r="P235" s="76"/>
      <c r="Q235" s="76"/>
    </row>
    <row r="236" spans="1:17" s="91" customFormat="1" ht="12" customHeight="1" x14ac:dyDescent="0.3">
      <c r="A236" s="109"/>
      <c r="B236" s="109"/>
      <c r="C236" s="109"/>
      <c r="D236" s="110"/>
      <c r="E236" s="76"/>
      <c r="F236" s="76"/>
      <c r="G236" s="76"/>
      <c r="H236" s="76"/>
      <c r="I236" s="76"/>
      <c r="J236" s="214"/>
      <c r="K236" s="157"/>
      <c r="L236" s="76"/>
      <c r="M236" s="78"/>
      <c r="N236" s="76"/>
      <c r="O236" s="76"/>
      <c r="P236" s="76"/>
      <c r="Q236" s="76"/>
    </row>
    <row r="237" spans="1:17" s="91" customFormat="1" ht="12" customHeight="1" x14ac:dyDescent="0.3">
      <c r="A237" s="109"/>
      <c r="B237" s="109"/>
      <c r="C237" s="109"/>
      <c r="D237" s="109"/>
      <c r="E237" s="76"/>
      <c r="F237" s="88"/>
      <c r="G237" s="88"/>
      <c r="H237" s="88"/>
      <c r="I237" s="88"/>
      <c r="J237" s="76"/>
      <c r="K237" s="157"/>
      <c r="L237" s="76"/>
      <c r="M237" s="78"/>
      <c r="N237" s="76"/>
      <c r="O237" s="76"/>
      <c r="P237" s="76"/>
      <c r="Q237" s="76"/>
    </row>
    <row r="238" spans="1:17" s="91" customFormat="1" ht="12" customHeight="1" x14ac:dyDescent="0.3">
      <c r="A238" s="107"/>
      <c r="B238" s="109"/>
      <c r="C238" s="109"/>
      <c r="D238" s="109"/>
      <c r="E238" s="76"/>
      <c r="F238" s="76"/>
      <c r="G238" s="76"/>
      <c r="H238" s="76"/>
      <c r="I238" s="76"/>
      <c r="J238" s="76"/>
      <c r="K238" s="157"/>
      <c r="L238" s="76"/>
      <c r="M238" s="78"/>
      <c r="N238" s="76"/>
      <c r="O238" s="76"/>
      <c r="P238" s="76"/>
      <c r="Q238" s="76"/>
    </row>
    <row r="239" spans="1:17" s="91" customFormat="1" ht="12" customHeight="1" x14ac:dyDescent="0.3">
      <c r="A239" s="295" t="e">
        <f>(F15-#REF!)*12%</f>
        <v>#REF!</v>
      </c>
      <c r="B239" s="109"/>
      <c r="C239" s="109"/>
      <c r="D239" s="296"/>
      <c r="E239" s="297"/>
      <c r="F239" s="297"/>
      <c r="G239" s="297"/>
      <c r="H239" s="297"/>
      <c r="I239" s="298"/>
      <c r="J239" s="76"/>
      <c r="K239" s="157"/>
      <c r="L239" s="76"/>
      <c r="M239" s="78"/>
      <c r="N239" s="76"/>
      <c r="O239" s="76"/>
      <c r="P239" s="76"/>
      <c r="Q239" s="76"/>
    </row>
    <row r="240" spans="1:17" s="91" customFormat="1" ht="12" customHeight="1" x14ac:dyDescent="0.3">
      <c r="A240" s="299"/>
      <c r="B240" s="109"/>
      <c r="C240" s="109"/>
      <c r="D240" s="296"/>
      <c r="E240" s="297"/>
      <c r="F240" s="297"/>
      <c r="G240" s="297"/>
      <c r="H240" s="297"/>
      <c r="I240" s="300"/>
      <c r="J240" s="76"/>
      <c r="K240" s="157"/>
      <c r="L240" s="76"/>
      <c r="M240" s="78"/>
      <c r="N240" s="76"/>
      <c r="O240" s="76"/>
      <c r="P240" s="76"/>
      <c r="Q240" s="76"/>
    </row>
    <row r="241" spans="1:17" s="91" customFormat="1" ht="12" customHeight="1" x14ac:dyDescent="0.3">
      <c r="A241" s="107"/>
      <c r="B241" s="295"/>
      <c r="C241" s="107"/>
      <c r="D241" s="301"/>
      <c r="E241" s="302"/>
      <c r="F241" s="303"/>
      <c r="G241" s="303"/>
      <c r="H241" s="303"/>
      <c r="I241" s="298"/>
      <c r="J241" s="76"/>
      <c r="K241" s="157"/>
      <c r="L241" s="76"/>
      <c r="M241" s="78"/>
      <c r="N241" s="76"/>
      <c r="O241" s="76"/>
      <c r="P241" s="76"/>
      <c r="Q241" s="76"/>
    </row>
    <row r="242" spans="1:17" s="91" customFormat="1" ht="17.25" customHeight="1" x14ac:dyDescent="0.3">
      <c r="B242" s="107"/>
      <c r="C242" s="107"/>
      <c r="D242" s="301"/>
      <c r="F242" s="303"/>
      <c r="G242" s="303"/>
      <c r="H242" s="303"/>
      <c r="I242" s="304"/>
      <c r="J242" s="76"/>
      <c r="K242" s="157"/>
      <c r="L242" s="76"/>
      <c r="M242" s="78"/>
      <c r="N242" s="76"/>
      <c r="O242" s="76"/>
      <c r="P242" s="76"/>
      <c r="Q242" s="76"/>
    </row>
    <row r="243" spans="1:17" s="91" customFormat="1" ht="15.75" customHeight="1" x14ac:dyDescent="0.3">
      <c r="B243" s="107"/>
      <c r="C243" s="107"/>
      <c r="D243" s="301"/>
      <c r="E243" s="302"/>
      <c r="F243" s="302"/>
      <c r="G243" s="302"/>
      <c r="H243" s="302"/>
      <c r="J243" s="76"/>
      <c r="K243" s="157"/>
      <c r="L243" s="76"/>
      <c r="M243" s="78"/>
      <c r="N243" s="76"/>
      <c r="O243" s="76"/>
      <c r="P243" s="76"/>
      <c r="Q243" s="76"/>
    </row>
    <row r="244" spans="1:17" s="91" customFormat="1" ht="12.75" customHeight="1" x14ac:dyDescent="0.3">
      <c r="D244" s="305"/>
      <c r="E244" s="302"/>
      <c r="F244" s="302"/>
      <c r="G244" s="302"/>
      <c r="H244" s="302"/>
      <c r="J244" s="76"/>
      <c r="K244" s="157"/>
      <c r="L244" s="76"/>
      <c r="M244" s="78"/>
      <c r="N244" s="76"/>
      <c r="O244" s="76"/>
      <c r="P244" s="76"/>
      <c r="Q244" s="76"/>
    </row>
    <row r="245" spans="1:17" s="91" customFormat="1" ht="12.75" customHeight="1" x14ac:dyDescent="0.3">
      <c r="D245" s="305"/>
      <c r="E245" s="302"/>
      <c r="F245" s="302"/>
      <c r="G245" s="302"/>
      <c r="H245" s="302"/>
      <c r="K245" s="157"/>
      <c r="L245" s="76"/>
      <c r="M245" s="78"/>
      <c r="N245" s="76"/>
      <c r="O245" s="76"/>
      <c r="P245" s="76"/>
      <c r="Q245" s="76"/>
    </row>
    <row r="246" spans="1:17" s="91" customFormat="1" ht="12.75" customHeight="1" x14ac:dyDescent="0.3">
      <c r="D246" s="305"/>
      <c r="E246" s="302"/>
      <c r="F246" s="302"/>
      <c r="G246" s="302"/>
      <c r="H246" s="302"/>
      <c r="K246" s="157"/>
      <c r="L246" s="76"/>
      <c r="M246" s="78"/>
      <c r="N246" s="76"/>
      <c r="O246" s="76"/>
      <c r="P246" s="76"/>
      <c r="Q246" s="76"/>
    </row>
    <row r="247" spans="1:17" s="91" customFormat="1" ht="12.75" customHeight="1" x14ac:dyDescent="0.3">
      <c r="D247" s="305"/>
      <c r="E247" s="302"/>
      <c r="F247" s="302"/>
      <c r="G247" s="302"/>
      <c r="H247" s="302"/>
      <c r="J247" s="229"/>
      <c r="K247" s="157"/>
      <c r="L247" s="76"/>
      <c r="M247" s="78"/>
      <c r="N247" s="76"/>
      <c r="O247" s="76"/>
      <c r="P247" s="76"/>
      <c r="Q247" s="76"/>
    </row>
    <row r="248" spans="1:17" s="91" customFormat="1" ht="12.75" customHeight="1" x14ac:dyDescent="0.3">
      <c r="D248" s="305"/>
      <c r="E248" s="302"/>
      <c r="F248" s="302"/>
      <c r="G248" s="302"/>
      <c r="H248" s="302"/>
      <c r="J248" s="298"/>
      <c r="K248" s="157"/>
      <c r="L248" s="76"/>
      <c r="M248" s="78"/>
      <c r="N248" s="76"/>
      <c r="O248" s="76"/>
      <c r="P248" s="76"/>
      <c r="Q248" s="76"/>
    </row>
    <row r="249" spans="1:17" s="91" customFormat="1" ht="12.75" customHeight="1" x14ac:dyDescent="0.3">
      <c r="D249" s="305"/>
      <c r="E249" s="302"/>
      <c r="F249" s="302"/>
      <c r="G249" s="302"/>
      <c r="H249" s="302"/>
      <c r="J249" s="300"/>
      <c r="K249" s="157"/>
      <c r="L249" s="76"/>
      <c r="M249" s="78"/>
      <c r="N249" s="76"/>
      <c r="O249" s="76"/>
      <c r="P249" s="76"/>
      <c r="Q249" s="76"/>
    </row>
    <row r="250" spans="1:17" s="91" customFormat="1" ht="12.75" customHeight="1" x14ac:dyDescent="0.3">
      <c r="D250" s="305"/>
      <c r="E250" s="302"/>
      <c r="F250" s="302"/>
      <c r="G250" s="302"/>
      <c r="H250" s="302"/>
      <c r="J250" s="298"/>
      <c r="K250" s="157"/>
      <c r="L250" s="76"/>
      <c r="M250" s="78"/>
      <c r="N250" s="76"/>
      <c r="O250" s="76"/>
      <c r="P250" s="76"/>
      <c r="Q250" s="76"/>
    </row>
    <row r="251" spans="1:17" s="91" customFormat="1" ht="12.75" customHeight="1" x14ac:dyDescent="0.3">
      <c r="D251" s="305"/>
      <c r="E251" s="302"/>
      <c r="F251" s="302"/>
      <c r="G251" s="302"/>
      <c r="H251" s="302"/>
      <c r="J251" s="304"/>
      <c r="K251" s="157"/>
      <c r="L251" s="76"/>
      <c r="M251" s="78"/>
      <c r="N251" s="76"/>
      <c r="O251" s="76"/>
      <c r="P251" s="76"/>
      <c r="Q251" s="76"/>
    </row>
    <row r="252" spans="1:17" s="91" customFormat="1" ht="12.75" customHeight="1" x14ac:dyDescent="0.3">
      <c r="D252" s="305"/>
      <c r="E252" s="302"/>
      <c r="F252" s="302"/>
      <c r="G252" s="302"/>
      <c r="H252" s="302"/>
      <c r="K252" s="157"/>
      <c r="L252" s="76"/>
      <c r="M252" s="78"/>
      <c r="N252" s="76"/>
      <c r="O252" s="76"/>
      <c r="P252" s="76"/>
      <c r="Q252" s="76"/>
    </row>
    <row r="253" spans="1:17" s="91" customFormat="1" ht="12.75" customHeight="1" x14ac:dyDescent="0.3">
      <c r="D253" s="305"/>
      <c r="E253" s="302"/>
      <c r="F253" s="302"/>
      <c r="G253" s="302"/>
      <c r="H253" s="302"/>
      <c r="K253" s="76"/>
      <c r="L253" s="76"/>
      <c r="M253" s="78"/>
      <c r="N253" s="76"/>
      <c r="O253" s="76"/>
      <c r="P253" s="76"/>
      <c r="Q253" s="76"/>
    </row>
    <row r="254" spans="1:17" s="91" customFormat="1" ht="12.75" customHeight="1" x14ac:dyDescent="0.3">
      <c r="D254" s="305"/>
      <c r="E254" s="302"/>
      <c r="F254" s="302"/>
      <c r="G254" s="302"/>
      <c r="H254" s="302"/>
      <c r="K254" s="76"/>
      <c r="L254" s="76"/>
      <c r="M254" s="88"/>
      <c r="N254" s="76"/>
      <c r="O254" s="76"/>
      <c r="P254" s="76"/>
      <c r="Q254" s="76"/>
    </row>
    <row r="255" spans="1:17" s="91" customFormat="1" ht="12.75" customHeight="1" x14ac:dyDescent="0.3">
      <c r="D255" s="305"/>
      <c r="E255" s="302"/>
      <c r="F255" s="302"/>
      <c r="G255" s="302"/>
      <c r="H255" s="302"/>
      <c r="K255" s="76"/>
      <c r="L255" s="76"/>
      <c r="M255" s="88"/>
      <c r="N255" s="76"/>
      <c r="O255" s="76"/>
      <c r="P255" s="76"/>
      <c r="Q255" s="76"/>
    </row>
    <row r="256" spans="1:17" s="91" customFormat="1" ht="12.75" customHeight="1" x14ac:dyDescent="0.3">
      <c r="D256" s="305"/>
      <c r="E256" s="302"/>
      <c r="F256" s="302"/>
      <c r="G256" s="302"/>
      <c r="H256" s="302"/>
      <c r="K256" s="76"/>
      <c r="L256" s="76"/>
      <c r="M256" s="88"/>
      <c r="N256" s="76"/>
      <c r="O256" s="76"/>
      <c r="P256" s="76"/>
      <c r="Q256" s="76"/>
    </row>
    <row r="257" spans="4:17" s="91" customFormat="1" ht="12.75" customHeight="1" x14ac:dyDescent="0.3">
      <c r="D257" s="305"/>
      <c r="E257" s="302"/>
      <c r="F257" s="302"/>
      <c r="G257" s="302"/>
      <c r="H257" s="302"/>
      <c r="K257" s="418"/>
      <c r="L257" s="418"/>
      <c r="M257" s="418"/>
      <c r="N257" s="76"/>
      <c r="O257" s="76"/>
      <c r="P257" s="418"/>
      <c r="Q257" s="418"/>
    </row>
    <row r="258" spans="4:17" s="91" customFormat="1" ht="12.75" customHeight="1" x14ac:dyDescent="0.3">
      <c r="D258" s="305"/>
      <c r="E258" s="302"/>
      <c r="F258" s="302"/>
      <c r="G258" s="302"/>
      <c r="H258" s="302"/>
      <c r="K258" s="76"/>
      <c r="L258" s="419"/>
      <c r="M258" s="419"/>
      <c r="N258" s="76"/>
      <c r="O258" s="76"/>
      <c r="P258" s="76"/>
      <c r="Q258" s="76"/>
    </row>
    <row r="259" spans="4:17" s="91" customFormat="1" ht="12.75" customHeight="1" x14ac:dyDescent="0.3">
      <c r="D259" s="305"/>
      <c r="E259" s="302"/>
      <c r="F259" s="302"/>
      <c r="G259" s="302"/>
      <c r="H259" s="302"/>
      <c r="K259" s="298"/>
      <c r="L259" s="116"/>
      <c r="M259" s="76"/>
      <c r="N259" s="76"/>
      <c r="O259" s="76"/>
      <c r="P259" s="76"/>
      <c r="Q259" s="76"/>
    </row>
    <row r="260" spans="4:17" s="91" customFormat="1" ht="12.75" customHeight="1" x14ac:dyDescent="0.3">
      <c r="D260" s="305"/>
      <c r="E260" s="302"/>
      <c r="F260" s="302"/>
      <c r="G260" s="302"/>
      <c r="H260" s="302"/>
      <c r="K260" s="300"/>
      <c r="L260" s="116"/>
      <c r="M260" s="76"/>
      <c r="N260" s="76"/>
      <c r="O260" s="76"/>
      <c r="P260" s="76"/>
      <c r="Q260" s="76"/>
    </row>
    <row r="261" spans="4:17" s="91" customFormat="1" ht="12.75" customHeight="1" x14ac:dyDescent="0.3">
      <c r="D261" s="305"/>
      <c r="E261" s="302"/>
      <c r="F261" s="302"/>
      <c r="G261" s="302"/>
      <c r="H261" s="302"/>
      <c r="K261" s="298"/>
      <c r="L261" s="304"/>
    </row>
    <row r="262" spans="4:17" s="91" customFormat="1" ht="12.75" customHeight="1" x14ac:dyDescent="0.3">
      <c r="D262" s="305"/>
      <c r="E262" s="302"/>
      <c r="F262" s="302"/>
      <c r="G262" s="302"/>
      <c r="H262" s="302"/>
      <c r="K262" s="229"/>
      <c r="L262" s="304"/>
    </row>
    <row r="263" spans="4:17" s="91" customFormat="1" ht="12.75" customHeight="1" x14ac:dyDescent="0.3">
      <c r="D263" s="305"/>
      <c r="E263" s="302"/>
      <c r="F263" s="302"/>
      <c r="G263" s="302"/>
      <c r="H263" s="302"/>
      <c r="K263" s="93"/>
    </row>
    <row r="264" spans="4:17" s="91" customFormat="1" ht="12.75" customHeight="1" x14ac:dyDescent="0.3">
      <c r="D264" s="305"/>
      <c r="E264" s="302"/>
      <c r="F264" s="302"/>
      <c r="G264" s="302"/>
      <c r="H264" s="302"/>
      <c r="K264" s="93"/>
    </row>
    <row r="265" spans="4:17" s="91" customFormat="1" ht="12.75" customHeight="1" x14ac:dyDescent="0.3">
      <c r="D265" s="305"/>
      <c r="E265" s="302"/>
      <c r="F265" s="302"/>
      <c r="G265" s="302"/>
      <c r="H265" s="302"/>
      <c r="K265" s="93"/>
    </row>
    <row r="266" spans="4:17" s="91" customFormat="1" ht="12.75" customHeight="1" x14ac:dyDescent="0.3">
      <c r="D266" s="305"/>
      <c r="E266" s="302"/>
      <c r="F266" s="302"/>
      <c r="G266" s="302"/>
      <c r="H266" s="302"/>
      <c r="K266" s="93"/>
    </row>
    <row r="267" spans="4:17" s="91" customFormat="1" ht="12.75" customHeight="1" x14ac:dyDescent="0.3">
      <c r="D267" s="305"/>
      <c r="E267" s="302"/>
      <c r="F267" s="302"/>
      <c r="G267" s="302"/>
      <c r="H267" s="302"/>
      <c r="K267" s="93"/>
    </row>
    <row r="268" spans="4:17" s="91" customFormat="1" ht="12.75" customHeight="1" x14ac:dyDescent="0.3">
      <c r="D268" s="305"/>
      <c r="E268" s="302"/>
      <c r="F268" s="302"/>
      <c r="G268" s="302"/>
      <c r="H268" s="302"/>
      <c r="K268" s="93"/>
    </row>
    <row r="269" spans="4:17" s="91" customFormat="1" ht="12.75" customHeight="1" x14ac:dyDescent="0.3">
      <c r="D269" s="305"/>
      <c r="E269" s="302"/>
      <c r="F269" s="302"/>
      <c r="G269" s="302"/>
      <c r="H269" s="302"/>
      <c r="K269" s="93"/>
    </row>
    <row r="270" spans="4:17" s="91" customFormat="1" ht="12.75" customHeight="1" x14ac:dyDescent="0.3">
      <c r="D270" s="305"/>
      <c r="E270" s="302"/>
      <c r="F270" s="302"/>
      <c r="G270" s="302"/>
      <c r="H270" s="302"/>
      <c r="K270" s="93"/>
    </row>
    <row r="271" spans="4:17" s="91" customFormat="1" ht="12.75" customHeight="1" x14ac:dyDescent="0.3">
      <c r="D271" s="305"/>
      <c r="E271" s="302"/>
      <c r="F271" s="302"/>
      <c r="G271" s="302"/>
      <c r="H271" s="302"/>
      <c r="K271" s="93"/>
    </row>
    <row r="272" spans="4:17" s="91" customFormat="1" ht="12.75" customHeight="1" x14ac:dyDescent="0.3">
      <c r="D272" s="305"/>
      <c r="E272" s="302"/>
      <c r="F272" s="302"/>
      <c r="G272" s="302"/>
      <c r="H272" s="302"/>
      <c r="K272" s="93"/>
    </row>
    <row r="273" spans="4:12" s="91" customFormat="1" ht="12.75" customHeight="1" x14ac:dyDescent="0.3">
      <c r="D273" s="305"/>
      <c r="E273" s="302"/>
      <c r="F273" s="302"/>
      <c r="G273" s="302"/>
      <c r="H273" s="302"/>
      <c r="K273" s="93"/>
    </row>
    <row r="274" spans="4:12" s="91" customFormat="1" ht="12.75" customHeight="1" x14ac:dyDescent="0.3">
      <c r="D274" s="305"/>
      <c r="E274" s="302"/>
      <c r="F274" s="302"/>
      <c r="G274" s="302"/>
      <c r="H274" s="302"/>
      <c r="K274" s="93"/>
    </row>
    <row r="275" spans="4:12" s="91" customFormat="1" ht="12.75" customHeight="1" x14ac:dyDescent="0.3">
      <c r="D275" s="305"/>
      <c r="E275" s="302"/>
      <c r="F275" s="302"/>
      <c r="G275" s="302"/>
      <c r="H275" s="302"/>
      <c r="L275" s="93"/>
    </row>
    <row r="276" spans="4:12" s="91" customFormat="1" ht="12.75" customHeight="1" x14ac:dyDescent="0.3">
      <c r="D276" s="305"/>
      <c r="E276" s="302"/>
      <c r="F276" s="302"/>
      <c r="G276" s="302"/>
      <c r="H276" s="302"/>
      <c r="L276" s="93"/>
    </row>
    <row r="277" spans="4:12" s="91" customFormat="1" ht="12.75" customHeight="1" x14ac:dyDescent="0.3">
      <c r="D277" s="305"/>
      <c r="E277" s="302"/>
      <c r="F277" s="302"/>
      <c r="G277" s="302"/>
      <c r="H277" s="302"/>
      <c r="L277" s="93"/>
    </row>
    <row r="278" spans="4:12" s="91" customFormat="1" ht="12.75" customHeight="1" x14ac:dyDescent="0.3">
      <c r="D278" s="305"/>
      <c r="E278" s="302"/>
      <c r="F278" s="302"/>
      <c r="G278" s="302"/>
      <c r="H278" s="302"/>
      <c r="L278" s="93"/>
    </row>
    <row r="279" spans="4:12" s="91" customFormat="1" ht="12.75" customHeight="1" x14ac:dyDescent="0.3">
      <c r="D279" s="305"/>
      <c r="E279" s="302"/>
      <c r="F279" s="302"/>
      <c r="G279" s="302"/>
      <c r="H279" s="302"/>
      <c r="L279" s="93"/>
    </row>
    <row r="280" spans="4:12" s="91" customFormat="1" ht="12.75" customHeight="1" x14ac:dyDescent="0.3">
      <c r="D280" s="305"/>
      <c r="E280" s="302"/>
      <c r="F280" s="302"/>
      <c r="G280" s="302"/>
      <c r="H280" s="302"/>
      <c r="L280" s="93"/>
    </row>
    <row r="281" spans="4:12" s="91" customFormat="1" ht="12.75" customHeight="1" x14ac:dyDescent="0.3">
      <c r="D281" s="305"/>
      <c r="E281" s="302"/>
      <c r="F281" s="302"/>
      <c r="G281" s="302"/>
      <c r="H281" s="302"/>
      <c r="L281" s="93"/>
    </row>
    <row r="282" spans="4:12" s="91" customFormat="1" ht="12.75" customHeight="1" x14ac:dyDescent="0.3">
      <c r="D282" s="305"/>
      <c r="E282" s="302"/>
      <c r="F282" s="302"/>
      <c r="G282" s="302"/>
      <c r="H282" s="302"/>
      <c r="L282" s="93"/>
    </row>
    <row r="283" spans="4:12" s="91" customFormat="1" ht="12.75" customHeight="1" x14ac:dyDescent="0.3">
      <c r="D283" s="305"/>
      <c r="E283" s="302"/>
      <c r="F283" s="302"/>
      <c r="G283" s="302"/>
      <c r="H283" s="302"/>
      <c r="L283" s="93"/>
    </row>
    <row r="284" spans="4:12" s="91" customFormat="1" ht="12.75" customHeight="1" x14ac:dyDescent="0.3">
      <c r="D284" s="305"/>
      <c r="E284" s="302"/>
      <c r="F284" s="302"/>
      <c r="G284" s="302"/>
      <c r="H284" s="302"/>
      <c r="L284" s="93"/>
    </row>
    <row r="285" spans="4:12" s="91" customFormat="1" ht="12.75" customHeight="1" x14ac:dyDescent="0.3">
      <c r="D285" s="305"/>
      <c r="E285" s="302"/>
      <c r="F285" s="302"/>
      <c r="G285" s="302"/>
      <c r="H285" s="302"/>
      <c r="L285" s="93"/>
    </row>
    <row r="286" spans="4:12" s="91" customFormat="1" ht="12.75" customHeight="1" x14ac:dyDescent="0.3">
      <c r="D286" s="305"/>
      <c r="E286" s="302"/>
      <c r="F286" s="302"/>
      <c r="G286" s="302"/>
      <c r="H286" s="302"/>
      <c r="L286" s="93"/>
    </row>
    <row r="287" spans="4:12" s="91" customFormat="1" ht="12.75" customHeight="1" x14ac:dyDescent="0.3">
      <c r="D287" s="305"/>
      <c r="E287" s="302"/>
      <c r="F287" s="302"/>
      <c r="G287" s="302"/>
      <c r="H287" s="302"/>
      <c r="L287" s="93"/>
    </row>
    <row r="288" spans="4:12" s="91" customFormat="1" ht="12.75" customHeight="1" x14ac:dyDescent="0.3">
      <c r="D288" s="305"/>
      <c r="E288" s="302"/>
      <c r="F288" s="302"/>
      <c r="G288" s="302"/>
      <c r="H288" s="302"/>
      <c r="L288" s="93"/>
    </row>
    <row r="289" spans="4:12" s="91" customFormat="1" ht="12.75" customHeight="1" x14ac:dyDescent="0.3">
      <c r="D289" s="305"/>
      <c r="E289" s="302"/>
      <c r="F289" s="302"/>
      <c r="G289" s="302"/>
      <c r="H289" s="302"/>
      <c r="L289" s="93"/>
    </row>
    <row r="290" spans="4:12" s="91" customFormat="1" ht="12.75" customHeight="1" x14ac:dyDescent="0.3">
      <c r="D290" s="305"/>
      <c r="E290" s="302"/>
      <c r="F290" s="302"/>
      <c r="G290" s="302"/>
      <c r="H290" s="302"/>
      <c r="L290" s="93"/>
    </row>
    <row r="291" spans="4:12" s="91" customFormat="1" ht="12.75" customHeight="1" x14ac:dyDescent="0.3">
      <c r="D291" s="305"/>
      <c r="E291" s="302"/>
      <c r="F291" s="302"/>
      <c r="G291" s="302"/>
      <c r="H291" s="302"/>
      <c r="L291" s="93"/>
    </row>
    <row r="292" spans="4:12" s="91" customFormat="1" ht="12.75" customHeight="1" x14ac:dyDescent="0.3">
      <c r="D292" s="305"/>
      <c r="E292" s="302"/>
      <c r="F292" s="302"/>
      <c r="G292" s="302"/>
      <c r="H292" s="302"/>
      <c r="L292" s="93"/>
    </row>
    <row r="293" spans="4:12" s="91" customFormat="1" ht="12.75" customHeight="1" x14ac:dyDescent="0.3">
      <c r="D293" s="305"/>
      <c r="E293" s="302"/>
      <c r="F293" s="302"/>
      <c r="G293" s="302"/>
      <c r="H293" s="302"/>
      <c r="L293" s="93"/>
    </row>
    <row r="294" spans="4:12" s="91" customFormat="1" ht="12.75" customHeight="1" x14ac:dyDescent="0.3">
      <c r="D294" s="305"/>
      <c r="E294" s="302"/>
      <c r="F294" s="302"/>
      <c r="G294" s="302"/>
      <c r="H294" s="302"/>
      <c r="L294" s="93"/>
    </row>
    <row r="295" spans="4:12" s="91" customFormat="1" ht="12.75" customHeight="1" x14ac:dyDescent="0.3">
      <c r="D295" s="305"/>
      <c r="E295" s="302"/>
      <c r="F295" s="302"/>
      <c r="G295" s="302"/>
      <c r="H295" s="302"/>
      <c r="L295" s="93"/>
    </row>
    <row r="296" spans="4:12" s="91" customFormat="1" ht="12.75" customHeight="1" x14ac:dyDescent="0.3">
      <c r="D296" s="305"/>
      <c r="E296" s="302"/>
      <c r="F296" s="302"/>
      <c r="G296" s="302"/>
      <c r="H296" s="302"/>
      <c r="L296" s="93"/>
    </row>
    <row r="297" spans="4:12" s="91" customFormat="1" ht="12.75" customHeight="1" x14ac:dyDescent="0.3">
      <c r="D297" s="305"/>
      <c r="E297" s="302"/>
      <c r="F297" s="302"/>
      <c r="G297" s="302"/>
      <c r="H297" s="302"/>
      <c r="L297" s="93"/>
    </row>
    <row r="298" spans="4:12" s="91" customFormat="1" ht="12.75" customHeight="1" x14ac:dyDescent="0.3">
      <c r="D298" s="305"/>
      <c r="E298" s="302"/>
      <c r="F298" s="302"/>
      <c r="G298" s="302"/>
      <c r="H298" s="302"/>
      <c r="L298" s="93"/>
    </row>
    <row r="299" spans="4:12" s="91" customFormat="1" ht="12.75" customHeight="1" x14ac:dyDescent="0.3">
      <c r="D299" s="305"/>
      <c r="E299" s="302"/>
      <c r="F299" s="302"/>
      <c r="G299" s="302"/>
      <c r="H299" s="302"/>
      <c r="L299" s="93"/>
    </row>
    <row r="300" spans="4:12" s="91" customFormat="1" ht="12.75" customHeight="1" x14ac:dyDescent="0.3">
      <c r="D300" s="305"/>
      <c r="E300" s="302"/>
      <c r="F300" s="302"/>
      <c r="G300" s="302"/>
      <c r="H300" s="302"/>
      <c r="L300" s="93"/>
    </row>
    <row r="301" spans="4:12" s="91" customFormat="1" ht="12.75" customHeight="1" x14ac:dyDescent="0.3">
      <c r="D301" s="305"/>
      <c r="E301" s="302"/>
      <c r="F301" s="302"/>
      <c r="G301" s="302"/>
      <c r="H301" s="302"/>
      <c r="L301" s="93"/>
    </row>
    <row r="302" spans="4:12" s="91" customFormat="1" ht="12.75" customHeight="1" x14ac:dyDescent="0.3">
      <c r="D302" s="305"/>
      <c r="E302" s="302"/>
      <c r="F302" s="302"/>
      <c r="G302" s="302"/>
      <c r="H302" s="302"/>
      <c r="L302" s="93"/>
    </row>
    <row r="303" spans="4:12" s="91" customFormat="1" ht="12.75" customHeight="1" x14ac:dyDescent="0.3">
      <c r="D303" s="305"/>
      <c r="E303" s="302"/>
      <c r="F303" s="302"/>
      <c r="G303" s="302"/>
      <c r="H303" s="302"/>
      <c r="L303" s="93"/>
    </row>
    <row r="304" spans="4:12" s="91" customFormat="1" ht="12.75" customHeight="1" x14ac:dyDescent="0.3">
      <c r="D304" s="305"/>
      <c r="E304" s="302"/>
      <c r="F304" s="302"/>
      <c r="G304" s="302"/>
      <c r="H304" s="302"/>
      <c r="L304" s="93"/>
    </row>
    <row r="305" spans="4:12" s="91" customFormat="1" ht="12.75" customHeight="1" x14ac:dyDescent="0.3">
      <c r="D305" s="305"/>
      <c r="E305" s="302"/>
      <c r="F305" s="302"/>
      <c r="G305" s="302"/>
      <c r="H305" s="302"/>
      <c r="L305" s="93"/>
    </row>
    <row r="306" spans="4:12" s="91" customFormat="1" ht="12.75" customHeight="1" x14ac:dyDescent="0.3">
      <c r="D306" s="305"/>
      <c r="E306" s="302"/>
      <c r="F306" s="302"/>
      <c r="G306" s="302"/>
      <c r="H306" s="302"/>
      <c r="L306" s="93"/>
    </row>
    <row r="307" spans="4:12" s="91" customFormat="1" ht="12.75" customHeight="1" x14ac:dyDescent="0.3">
      <c r="D307" s="305"/>
      <c r="E307" s="302"/>
      <c r="F307" s="302"/>
      <c r="G307" s="302"/>
      <c r="H307" s="302"/>
      <c r="L307" s="93"/>
    </row>
    <row r="308" spans="4:12" s="91" customFormat="1" ht="12.75" customHeight="1" x14ac:dyDescent="0.3">
      <c r="D308" s="305"/>
      <c r="E308" s="302"/>
      <c r="F308" s="302"/>
      <c r="G308" s="302"/>
      <c r="H308" s="302"/>
      <c r="L308" s="93"/>
    </row>
    <row r="309" spans="4:12" s="91" customFormat="1" ht="12.75" customHeight="1" x14ac:dyDescent="0.3">
      <c r="D309" s="305"/>
      <c r="E309" s="302"/>
      <c r="F309" s="302"/>
      <c r="G309" s="302"/>
      <c r="H309" s="302"/>
      <c r="L309" s="93"/>
    </row>
    <row r="310" spans="4:12" s="91" customFormat="1" ht="12.75" customHeight="1" x14ac:dyDescent="0.3">
      <c r="D310" s="305"/>
      <c r="E310" s="302"/>
      <c r="F310" s="302"/>
      <c r="G310" s="302"/>
      <c r="H310" s="302"/>
      <c r="L310" s="93"/>
    </row>
    <row r="311" spans="4:12" s="91" customFormat="1" ht="12.75" customHeight="1" x14ac:dyDescent="0.3">
      <c r="D311" s="305"/>
      <c r="E311" s="302"/>
      <c r="F311" s="302"/>
      <c r="G311" s="302"/>
      <c r="H311" s="302"/>
      <c r="L311" s="93"/>
    </row>
    <row r="312" spans="4:12" s="91" customFormat="1" ht="12.75" customHeight="1" x14ac:dyDescent="0.3">
      <c r="D312" s="305"/>
      <c r="E312" s="302"/>
      <c r="F312" s="302"/>
      <c r="G312" s="302"/>
      <c r="H312" s="302"/>
      <c r="L312" s="93"/>
    </row>
    <row r="313" spans="4:12" s="91" customFormat="1" ht="12.75" customHeight="1" x14ac:dyDescent="0.3">
      <c r="D313" s="305"/>
      <c r="E313" s="302"/>
      <c r="F313" s="302"/>
      <c r="G313" s="302"/>
      <c r="H313" s="302"/>
      <c r="L313" s="93"/>
    </row>
    <row r="314" spans="4:12" s="91" customFormat="1" ht="12.75" customHeight="1" x14ac:dyDescent="0.3">
      <c r="D314" s="305"/>
      <c r="E314" s="302"/>
      <c r="F314" s="302"/>
      <c r="G314" s="302"/>
      <c r="H314" s="302"/>
      <c r="L314" s="93"/>
    </row>
    <row r="315" spans="4:12" s="91" customFormat="1" ht="12.75" customHeight="1" x14ac:dyDescent="0.3">
      <c r="D315" s="305"/>
      <c r="E315" s="302"/>
      <c r="F315" s="302"/>
      <c r="G315" s="302"/>
      <c r="H315" s="302"/>
      <c r="L315" s="93"/>
    </row>
    <row r="316" spans="4:12" s="91" customFormat="1" ht="12.75" customHeight="1" x14ac:dyDescent="0.3">
      <c r="D316" s="305"/>
      <c r="E316" s="302"/>
      <c r="F316" s="302"/>
      <c r="G316" s="302"/>
      <c r="H316" s="302"/>
      <c r="L316" s="93"/>
    </row>
    <row r="317" spans="4:12" s="91" customFormat="1" ht="12.75" customHeight="1" x14ac:dyDescent="0.3">
      <c r="D317" s="305"/>
      <c r="E317" s="302"/>
      <c r="F317" s="302"/>
      <c r="G317" s="302"/>
      <c r="H317" s="302"/>
      <c r="L317" s="93"/>
    </row>
    <row r="318" spans="4:12" s="91" customFormat="1" ht="12.75" customHeight="1" x14ac:dyDescent="0.3">
      <c r="D318" s="305"/>
      <c r="E318" s="302"/>
      <c r="F318" s="302"/>
      <c r="G318" s="302"/>
      <c r="H318" s="302"/>
      <c r="L318" s="93"/>
    </row>
    <row r="319" spans="4:12" s="91" customFormat="1" ht="12.75" customHeight="1" x14ac:dyDescent="0.3">
      <c r="D319" s="305"/>
      <c r="E319" s="302"/>
      <c r="F319" s="302"/>
      <c r="G319" s="302"/>
      <c r="H319" s="302"/>
      <c r="L319" s="93"/>
    </row>
    <row r="320" spans="4:12" s="91" customFormat="1" ht="12.75" customHeight="1" x14ac:dyDescent="0.3">
      <c r="D320" s="305"/>
      <c r="E320" s="302"/>
      <c r="F320" s="302"/>
      <c r="G320" s="302"/>
      <c r="H320" s="302"/>
      <c r="L320" s="93"/>
    </row>
    <row r="321" spans="4:12" s="91" customFormat="1" ht="12.75" customHeight="1" x14ac:dyDescent="0.3">
      <c r="D321" s="305"/>
      <c r="E321" s="302"/>
      <c r="F321" s="302"/>
      <c r="G321" s="302"/>
      <c r="H321" s="302"/>
      <c r="L321" s="93"/>
    </row>
    <row r="322" spans="4:12" s="91" customFormat="1" ht="12.75" customHeight="1" x14ac:dyDescent="0.3">
      <c r="D322" s="305"/>
      <c r="E322" s="302"/>
      <c r="F322" s="302"/>
      <c r="G322" s="302"/>
      <c r="H322" s="302"/>
      <c r="L322" s="93"/>
    </row>
    <row r="323" spans="4:12" s="91" customFormat="1" ht="12.75" customHeight="1" x14ac:dyDescent="0.3">
      <c r="D323" s="305"/>
      <c r="E323" s="302"/>
      <c r="F323" s="302"/>
      <c r="G323" s="302"/>
      <c r="H323" s="302"/>
      <c r="L323" s="93"/>
    </row>
    <row r="324" spans="4:12" s="91" customFormat="1" ht="12.75" customHeight="1" x14ac:dyDescent="0.3">
      <c r="D324" s="305"/>
      <c r="E324" s="302"/>
      <c r="F324" s="302"/>
      <c r="G324" s="302"/>
      <c r="H324" s="302"/>
      <c r="L324" s="93"/>
    </row>
    <row r="325" spans="4:12" s="91" customFormat="1" ht="12.75" customHeight="1" x14ac:dyDescent="0.3">
      <c r="D325" s="305"/>
      <c r="E325" s="302"/>
      <c r="F325" s="302"/>
      <c r="G325" s="302"/>
      <c r="H325" s="302"/>
      <c r="L325" s="93"/>
    </row>
    <row r="326" spans="4:12" s="91" customFormat="1" ht="12.75" customHeight="1" x14ac:dyDescent="0.3">
      <c r="D326" s="305"/>
      <c r="E326" s="302"/>
      <c r="F326" s="302"/>
      <c r="G326" s="302"/>
      <c r="H326" s="302"/>
      <c r="L326" s="93"/>
    </row>
    <row r="327" spans="4:12" s="91" customFormat="1" ht="12.75" customHeight="1" x14ac:dyDescent="0.3">
      <c r="D327" s="305"/>
      <c r="E327" s="302"/>
      <c r="F327" s="302"/>
      <c r="G327" s="302"/>
      <c r="H327" s="302"/>
      <c r="L327" s="93"/>
    </row>
    <row r="328" spans="4:12" s="91" customFormat="1" ht="12.75" customHeight="1" x14ac:dyDescent="0.3">
      <c r="D328" s="305"/>
      <c r="E328" s="302"/>
      <c r="F328" s="302"/>
      <c r="G328" s="302"/>
      <c r="H328" s="302"/>
      <c r="L328" s="93"/>
    </row>
    <row r="329" spans="4:12" s="91" customFormat="1" ht="12.75" customHeight="1" x14ac:dyDescent="0.3">
      <c r="D329" s="305"/>
      <c r="E329" s="302"/>
      <c r="F329" s="302"/>
      <c r="G329" s="302"/>
      <c r="H329" s="302"/>
      <c r="L329" s="93"/>
    </row>
    <row r="330" spans="4:12" s="91" customFormat="1" ht="12.75" customHeight="1" x14ac:dyDescent="0.3">
      <c r="D330" s="305"/>
      <c r="E330" s="302"/>
      <c r="F330" s="302"/>
      <c r="G330" s="302"/>
      <c r="H330" s="302"/>
      <c r="L330" s="93"/>
    </row>
    <row r="331" spans="4:12" s="91" customFormat="1" ht="12.75" customHeight="1" x14ac:dyDescent="0.3">
      <c r="D331" s="305"/>
      <c r="E331" s="302"/>
      <c r="F331" s="302"/>
      <c r="G331" s="302"/>
      <c r="H331" s="302"/>
      <c r="L331" s="93"/>
    </row>
    <row r="332" spans="4:12" s="91" customFormat="1" ht="12.75" customHeight="1" x14ac:dyDescent="0.3">
      <c r="D332" s="305"/>
      <c r="E332" s="302"/>
      <c r="F332" s="302"/>
      <c r="G332" s="302"/>
      <c r="H332" s="302"/>
      <c r="L332" s="93"/>
    </row>
    <row r="333" spans="4:12" s="91" customFormat="1" ht="12.75" customHeight="1" x14ac:dyDescent="0.3">
      <c r="D333" s="305"/>
      <c r="E333" s="302"/>
      <c r="F333" s="302"/>
      <c r="G333" s="302"/>
      <c r="H333" s="302"/>
      <c r="L333" s="93"/>
    </row>
    <row r="334" spans="4:12" s="91" customFormat="1" ht="12.75" customHeight="1" x14ac:dyDescent="0.3">
      <c r="D334" s="305"/>
      <c r="E334" s="302"/>
      <c r="F334" s="302"/>
      <c r="G334" s="302"/>
      <c r="H334" s="302"/>
      <c r="L334" s="93"/>
    </row>
    <row r="335" spans="4:12" s="91" customFormat="1" ht="12.75" customHeight="1" x14ac:dyDescent="0.3">
      <c r="D335" s="305"/>
      <c r="E335" s="302"/>
      <c r="F335" s="302"/>
      <c r="G335" s="302"/>
      <c r="H335" s="302"/>
      <c r="L335" s="93"/>
    </row>
    <row r="336" spans="4:12" s="91" customFormat="1" ht="12.75" customHeight="1" x14ac:dyDescent="0.3">
      <c r="D336" s="305"/>
      <c r="E336" s="302"/>
      <c r="F336" s="302"/>
      <c r="G336" s="302"/>
      <c r="H336" s="302"/>
      <c r="L336" s="93"/>
    </row>
    <row r="337" spans="4:12" s="91" customFormat="1" ht="12.75" customHeight="1" x14ac:dyDescent="0.3">
      <c r="D337" s="305"/>
      <c r="E337" s="302"/>
      <c r="F337" s="302"/>
      <c r="G337" s="302"/>
      <c r="H337" s="302"/>
      <c r="L337" s="93"/>
    </row>
    <row r="338" spans="4:12" s="91" customFormat="1" ht="12.75" customHeight="1" x14ac:dyDescent="0.3">
      <c r="D338" s="305"/>
      <c r="E338" s="302"/>
      <c r="F338" s="302"/>
      <c r="G338" s="302"/>
      <c r="H338" s="302"/>
      <c r="L338" s="93"/>
    </row>
    <row r="339" spans="4:12" s="91" customFormat="1" ht="12.75" customHeight="1" x14ac:dyDescent="0.3">
      <c r="D339" s="305"/>
      <c r="E339" s="302"/>
      <c r="F339" s="302"/>
      <c r="G339" s="302"/>
      <c r="H339" s="302"/>
      <c r="L339" s="93"/>
    </row>
    <row r="340" spans="4:12" s="91" customFormat="1" ht="12.75" customHeight="1" x14ac:dyDescent="0.3">
      <c r="D340" s="305"/>
      <c r="E340" s="302"/>
      <c r="F340" s="302"/>
      <c r="G340" s="302"/>
      <c r="H340" s="302"/>
      <c r="L340" s="93"/>
    </row>
    <row r="341" spans="4:12" s="91" customFormat="1" ht="12.75" customHeight="1" x14ac:dyDescent="0.3">
      <c r="D341" s="305"/>
      <c r="E341" s="302"/>
      <c r="F341" s="302"/>
      <c r="G341" s="302"/>
      <c r="H341" s="302"/>
      <c r="L341" s="93"/>
    </row>
    <row r="342" spans="4:12" s="91" customFormat="1" ht="12.75" customHeight="1" x14ac:dyDescent="0.3">
      <c r="D342" s="305"/>
      <c r="E342" s="302"/>
      <c r="F342" s="302"/>
      <c r="G342" s="302"/>
      <c r="H342" s="302"/>
      <c r="L342" s="93"/>
    </row>
    <row r="343" spans="4:12" s="91" customFormat="1" ht="12.75" customHeight="1" x14ac:dyDescent="0.3">
      <c r="D343" s="305"/>
      <c r="E343" s="302"/>
      <c r="F343" s="302"/>
      <c r="G343" s="302"/>
      <c r="H343" s="302"/>
      <c r="L343" s="93"/>
    </row>
    <row r="344" spans="4:12" s="91" customFormat="1" ht="12.75" customHeight="1" x14ac:dyDescent="0.3">
      <c r="D344" s="305"/>
      <c r="E344" s="302"/>
      <c r="F344" s="302"/>
      <c r="G344" s="302"/>
      <c r="H344" s="302"/>
      <c r="L344" s="93"/>
    </row>
    <row r="345" spans="4:12" s="91" customFormat="1" ht="12.75" customHeight="1" x14ac:dyDescent="0.3">
      <c r="D345" s="305"/>
      <c r="E345" s="302"/>
      <c r="F345" s="302"/>
      <c r="G345" s="302"/>
      <c r="H345" s="302"/>
      <c r="L345" s="93"/>
    </row>
    <row r="346" spans="4:12" s="91" customFormat="1" ht="12.75" customHeight="1" x14ac:dyDescent="0.3">
      <c r="D346" s="305"/>
      <c r="E346" s="302"/>
      <c r="F346" s="302"/>
      <c r="G346" s="302"/>
      <c r="H346" s="302"/>
      <c r="L346" s="93"/>
    </row>
    <row r="347" spans="4:12" s="91" customFormat="1" ht="12.75" customHeight="1" x14ac:dyDescent="0.3">
      <c r="D347" s="305"/>
      <c r="E347" s="302"/>
      <c r="F347" s="302"/>
      <c r="G347" s="302"/>
      <c r="H347" s="302"/>
      <c r="L347" s="93"/>
    </row>
    <row r="348" spans="4:12" s="91" customFormat="1" ht="12.75" customHeight="1" x14ac:dyDescent="0.3">
      <c r="D348" s="305"/>
      <c r="E348" s="302"/>
      <c r="F348" s="302"/>
      <c r="G348" s="302"/>
      <c r="H348" s="302"/>
      <c r="L348" s="93"/>
    </row>
    <row r="349" spans="4:12" s="91" customFormat="1" ht="12.75" customHeight="1" x14ac:dyDescent="0.3">
      <c r="D349" s="305"/>
      <c r="E349" s="302"/>
      <c r="F349" s="302"/>
      <c r="G349" s="302"/>
      <c r="H349" s="302"/>
      <c r="L349" s="93"/>
    </row>
    <row r="350" spans="4:12" s="91" customFormat="1" ht="12.75" customHeight="1" x14ac:dyDescent="0.3">
      <c r="D350" s="305"/>
      <c r="E350" s="302"/>
      <c r="F350" s="302"/>
      <c r="G350" s="302"/>
      <c r="H350" s="302"/>
      <c r="L350" s="93"/>
    </row>
    <row r="351" spans="4:12" s="91" customFormat="1" ht="12.75" customHeight="1" x14ac:dyDescent="0.3">
      <c r="D351" s="305"/>
      <c r="E351" s="302"/>
      <c r="F351" s="302"/>
      <c r="G351" s="302"/>
      <c r="H351" s="302"/>
      <c r="L351" s="93"/>
    </row>
    <row r="352" spans="4:12" s="91" customFormat="1" ht="12.75" customHeight="1" x14ac:dyDescent="0.3">
      <c r="D352" s="305"/>
      <c r="E352" s="302"/>
      <c r="F352" s="302"/>
      <c r="G352" s="302"/>
      <c r="H352" s="302"/>
      <c r="L352" s="93"/>
    </row>
    <row r="353" spans="4:12" s="91" customFormat="1" ht="12.75" customHeight="1" x14ac:dyDescent="0.3">
      <c r="D353" s="305"/>
      <c r="E353" s="302"/>
      <c r="F353" s="302"/>
      <c r="G353" s="302"/>
      <c r="H353" s="302"/>
      <c r="L353" s="93"/>
    </row>
    <row r="354" spans="4:12" s="91" customFormat="1" ht="12.75" customHeight="1" x14ac:dyDescent="0.3">
      <c r="D354" s="305"/>
      <c r="E354" s="302"/>
      <c r="F354" s="302"/>
      <c r="G354" s="302"/>
      <c r="H354" s="302"/>
      <c r="L354" s="93"/>
    </row>
    <row r="355" spans="4:12" s="91" customFormat="1" ht="12.75" customHeight="1" x14ac:dyDescent="0.3">
      <c r="D355" s="305"/>
      <c r="E355" s="302"/>
      <c r="F355" s="302"/>
      <c r="G355" s="302"/>
      <c r="H355" s="302"/>
      <c r="L355" s="93"/>
    </row>
    <row r="356" spans="4:12" s="91" customFormat="1" ht="12.75" customHeight="1" x14ac:dyDescent="0.3">
      <c r="D356" s="305"/>
      <c r="E356" s="302"/>
      <c r="F356" s="302"/>
      <c r="G356" s="302"/>
      <c r="H356" s="302"/>
      <c r="L356" s="93"/>
    </row>
    <row r="357" spans="4:12" s="91" customFormat="1" ht="12.75" customHeight="1" x14ac:dyDescent="0.3">
      <c r="D357" s="305"/>
      <c r="E357" s="302"/>
      <c r="F357" s="302"/>
      <c r="G357" s="302"/>
      <c r="H357" s="302"/>
      <c r="L357" s="93"/>
    </row>
    <row r="358" spans="4:12" s="91" customFormat="1" ht="12.75" customHeight="1" x14ac:dyDescent="0.3">
      <c r="D358" s="305"/>
      <c r="E358" s="302"/>
      <c r="F358" s="302"/>
      <c r="G358" s="302"/>
      <c r="H358" s="302"/>
      <c r="L358" s="93"/>
    </row>
    <row r="359" spans="4:12" s="91" customFormat="1" ht="12.75" customHeight="1" x14ac:dyDescent="0.3">
      <c r="D359" s="305"/>
      <c r="E359" s="302"/>
      <c r="F359" s="302"/>
      <c r="G359" s="302"/>
      <c r="H359" s="302"/>
      <c r="L359" s="93"/>
    </row>
    <row r="360" spans="4:12" s="91" customFormat="1" ht="12.75" customHeight="1" x14ac:dyDescent="0.3">
      <c r="D360" s="305"/>
      <c r="E360" s="302"/>
      <c r="F360" s="302"/>
      <c r="G360" s="302"/>
      <c r="H360" s="302"/>
      <c r="L360" s="93"/>
    </row>
    <row r="361" spans="4:12" s="91" customFormat="1" ht="12.75" customHeight="1" x14ac:dyDescent="0.3">
      <c r="D361" s="305"/>
      <c r="E361" s="302"/>
      <c r="F361" s="302"/>
      <c r="G361" s="302"/>
      <c r="H361" s="302"/>
      <c r="L361" s="93"/>
    </row>
    <row r="362" spans="4:12" s="91" customFormat="1" ht="12.75" customHeight="1" x14ac:dyDescent="0.3">
      <c r="D362" s="305"/>
      <c r="E362" s="302"/>
      <c r="F362" s="302"/>
      <c r="G362" s="302"/>
      <c r="H362" s="302"/>
      <c r="L362" s="93"/>
    </row>
    <row r="363" spans="4:12" s="91" customFormat="1" ht="12.75" customHeight="1" x14ac:dyDescent="0.3">
      <c r="D363" s="305"/>
      <c r="E363" s="302"/>
      <c r="F363" s="302"/>
      <c r="G363" s="302"/>
      <c r="H363" s="302"/>
      <c r="L363" s="93"/>
    </row>
    <row r="364" spans="4:12" s="91" customFormat="1" ht="12.75" customHeight="1" x14ac:dyDescent="0.3">
      <c r="D364" s="305"/>
      <c r="E364" s="302"/>
      <c r="F364" s="302"/>
      <c r="G364" s="302"/>
      <c r="H364" s="302"/>
      <c r="L364" s="93"/>
    </row>
    <row r="365" spans="4:12" s="91" customFormat="1" ht="12.75" customHeight="1" x14ac:dyDescent="0.3">
      <c r="D365" s="305"/>
      <c r="E365" s="302"/>
      <c r="F365" s="302"/>
      <c r="G365" s="302"/>
      <c r="H365" s="302"/>
      <c r="L365" s="93"/>
    </row>
    <row r="366" spans="4:12" s="91" customFormat="1" ht="12.75" customHeight="1" x14ac:dyDescent="0.3">
      <c r="D366" s="305"/>
      <c r="E366" s="302"/>
      <c r="F366" s="302"/>
      <c r="G366" s="302"/>
      <c r="H366" s="302"/>
      <c r="L366" s="93"/>
    </row>
    <row r="367" spans="4:12" s="91" customFormat="1" ht="12.75" customHeight="1" x14ac:dyDescent="0.3">
      <c r="D367" s="305"/>
      <c r="E367" s="302"/>
      <c r="F367" s="302"/>
      <c r="G367" s="302"/>
      <c r="H367" s="302"/>
      <c r="L367" s="93"/>
    </row>
    <row r="368" spans="4:12" s="91" customFormat="1" ht="12.75" customHeight="1" x14ac:dyDescent="0.3">
      <c r="D368" s="305"/>
      <c r="E368" s="302"/>
      <c r="F368" s="302"/>
      <c r="G368" s="302"/>
      <c r="H368" s="302"/>
      <c r="L368" s="93"/>
    </row>
    <row r="369" spans="4:34" s="91" customFormat="1" ht="12.75" customHeight="1" x14ac:dyDescent="0.3">
      <c r="D369" s="305"/>
      <c r="E369" s="302"/>
      <c r="F369" s="302"/>
      <c r="G369" s="302"/>
      <c r="H369" s="302"/>
      <c r="L369" s="93"/>
    </row>
    <row r="370" spans="4:34" s="91" customFormat="1" ht="12.75" customHeight="1" x14ac:dyDescent="0.3">
      <c r="D370" s="305"/>
      <c r="E370" s="302"/>
      <c r="F370" s="302"/>
      <c r="G370" s="302"/>
      <c r="H370" s="302"/>
      <c r="L370" s="93"/>
    </row>
    <row r="371" spans="4:34" s="91" customFormat="1" ht="12.75" customHeight="1" x14ac:dyDescent="0.3">
      <c r="D371" s="305"/>
      <c r="E371" s="302"/>
      <c r="F371" s="302"/>
      <c r="G371" s="302"/>
      <c r="H371" s="302"/>
      <c r="L371" s="93"/>
    </row>
    <row r="372" spans="4:34" s="91" customFormat="1" ht="12.75" customHeight="1" x14ac:dyDescent="0.3">
      <c r="D372" s="305"/>
      <c r="E372" s="302"/>
      <c r="F372" s="302"/>
      <c r="G372" s="302"/>
      <c r="H372" s="302"/>
      <c r="L372" s="93"/>
    </row>
    <row r="373" spans="4:34" s="91" customFormat="1" ht="12.75" customHeight="1" x14ac:dyDescent="0.3">
      <c r="D373" s="305"/>
      <c r="E373" s="302"/>
      <c r="F373" s="302"/>
      <c r="G373" s="302"/>
      <c r="H373" s="302"/>
      <c r="L373" s="93"/>
    </row>
    <row r="374" spans="4:34" s="91" customFormat="1" ht="12.75" customHeight="1" x14ac:dyDescent="0.3">
      <c r="D374" s="305"/>
      <c r="E374" s="302"/>
      <c r="F374" s="302"/>
      <c r="G374" s="302"/>
      <c r="H374" s="302"/>
      <c r="L374" s="93"/>
    </row>
    <row r="375" spans="4:34" s="91" customFormat="1" ht="12.75" customHeight="1" x14ac:dyDescent="0.3">
      <c r="D375" s="305"/>
      <c r="E375" s="302"/>
      <c r="F375" s="302"/>
      <c r="G375" s="302"/>
      <c r="H375" s="302"/>
      <c r="L375" s="93"/>
    </row>
    <row r="376" spans="4:34" s="91" customFormat="1" ht="12.75" customHeight="1" x14ac:dyDescent="0.3">
      <c r="D376" s="305"/>
      <c r="E376" s="302"/>
      <c r="F376" s="302"/>
      <c r="G376" s="302"/>
      <c r="H376" s="302"/>
      <c r="L376" s="93"/>
    </row>
    <row r="377" spans="4:34" s="91" customFormat="1" ht="12.75" customHeight="1" x14ac:dyDescent="0.3">
      <c r="D377" s="305"/>
      <c r="E377" s="302"/>
      <c r="F377" s="302"/>
      <c r="G377" s="302"/>
      <c r="H377" s="302"/>
      <c r="L377" s="93"/>
    </row>
    <row r="378" spans="4:34" s="91" customFormat="1" ht="12.75" customHeight="1" x14ac:dyDescent="0.3">
      <c r="D378" s="305"/>
      <c r="E378" s="302"/>
      <c r="F378" s="302"/>
      <c r="G378" s="302"/>
      <c r="H378" s="302"/>
      <c r="L378" s="93"/>
    </row>
    <row r="379" spans="4:34" s="91" customFormat="1" ht="12.75" customHeight="1" x14ac:dyDescent="0.3">
      <c r="D379" s="305"/>
      <c r="E379" s="302"/>
      <c r="F379" s="302"/>
      <c r="G379" s="302"/>
      <c r="H379" s="302"/>
      <c r="L379" s="93"/>
    </row>
    <row r="380" spans="4:34" s="91" customFormat="1" ht="12.75" customHeight="1" x14ac:dyDescent="0.3">
      <c r="D380" s="305"/>
      <c r="E380" s="302"/>
      <c r="F380" s="302"/>
      <c r="G380" s="302"/>
      <c r="H380" s="302"/>
      <c r="L380" s="93"/>
    </row>
    <row r="381" spans="4:34" s="91" customFormat="1" ht="12.75" customHeight="1" x14ac:dyDescent="0.3">
      <c r="D381" s="305"/>
      <c r="E381" s="302"/>
      <c r="F381" s="302"/>
      <c r="G381" s="302"/>
      <c r="H381" s="302"/>
      <c r="L381" s="93"/>
    </row>
    <row r="382" spans="4:34" s="91" customFormat="1" ht="12.75" customHeight="1" x14ac:dyDescent="0.3">
      <c r="D382" s="305"/>
      <c r="E382" s="302"/>
      <c r="F382" s="302"/>
      <c r="G382" s="302"/>
      <c r="H382" s="302"/>
      <c r="L382" s="93"/>
    </row>
    <row r="383" spans="4:34" s="91" customFormat="1" ht="12.75" customHeight="1" x14ac:dyDescent="0.3">
      <c r="D383" s="305"/>
      <c r="E383" s="302"/>
      <c r="F383" s="302"/>
      <c r="G383" s="302"/>
      <c r="H383" s="302"/>
      <c r="L383" s="93"/>
    </row>
    <row r="384" spans="4:34" s="91" customFormat="1" ht="12.75" customHeight="1" x14ac:dyDescent="0.3">
      <c r="D384" s="305"/>
      <c r="E384" s="302"/>
      <c r="F384" s="302"/>
      <c r="G384" s="302"/>
      <c r="H384" s="302"/>
      <c r="L384" s="93"/>
      <c r="AF384" s="306"/>
      <c r="AG384" s="307"/>
      <c r="AH384" s="306"/>
    </row>
    <row r="385" spans="4:53" ht="12.75" customHeight="1" x14ac:dyDescent="0.3">
      <c r="D385" s="305"/>
      <c r="E385" s="302"/>
      <c r="F385" s="302"/>
      <c r="G385" s="302"/>
      <c r="H385" s="302"/>
      <c r="AF385" s="308"/>
      <c r="AG385" s="308"/>
      <c r="AH385" s="306"/>
      <c r="AI385" s="307"/>
      <c r="AJ385" s="309"/>
      <c r="AK385" s="310"/>
      <c r="AL385" s="311"/>
      <c r="AM385" s="312"/>
      <c r="AN385" s="312"/>
      <c r="AO385" s="313"/>
      <c r="AP385" s="314"/>
      <c r="AQ385" s="312"/>
      <c r="AR385" s="312"/>
      <c r="AS385" s="315">
        <v>20000</v>
      </c>
      <c r="AT385" s="312"/>
      <c r="AU385" s="306">
        <v>24</v>
      </c>
      <c r="AV385" s="316"/>
      <c r="AW385" s="317"/>
      <c r="AX385" s="316"/>
      <c r="AY385" s="312"/>
      <c r="AZ385" s="312"/>
      <c r="BA385" s="312"/>
    </row>
    <row r="386" spans="4:53" ht="12.75" customHeight="1" x14ac:dyDescent="0.3">
      <c r="D386" s="305"/>
      <c r="E386" s="302"/>
      <c r="F386" s="302"/>
      <c r="G386" s="302"/>
      <c r="H386" s="302"/>
      <c r="AF386" s="308"/>
      <c r="AG386" s="308"/>
      <c r="AH386" s="306"/>
      <c r="AI386" s="308"/>
      <c r="AJ386" s="318"/>
      <c r="AK386" s="319"/>
      <c r="AL386" s="320"/>
      <c r="AM386" s="315"/>
      <c r="AN386" s="315"/>
      <c r="AO386" s="321"/>
      <c r="AP386" s="322"/>
      <c r="AQ386" s="315"/>
      <c r="AR386" s="315"/>
      <c r="AS386" s="315">
        <v>15000</v>
      </c>
      <c r="AT386" s="315"/>
      <c r="AU386" s="308"/>
      <c r="AV386" s="323"/>
      <c r="AW386" s="324"/>
      <c r="AX386" s="323"/>
      <c r="AY386" s="315"/>
      <c r="AZ386" s="315"/>
      <c r="BA386" s="315"/>
    </row>
    <row r="387" spans="4:53" ht="12.75" customHeight="1" x14ac:dyDescent="0.3">
      <c r="D387" s="305"/>
      <c r="E387" s="302"/>
      <c r="F387" s="302"/>
      <c r="G387" s="302"/>
      <c r="H387" s="302"/>
      <c r="AF387" s="308"/>
      <c r="AG387" s="308"/>
      <c r="AH387" s="306"/>
      <c r="AI387" s="308"/>
      <c r="AJ387" s="318"/>
      <c r="AK387" s="319"/>
      <c r="AL387" s="320"/>
      <c r="AM387" s="315"/>
      <c r="AN387" s="315"/>
      <c r="AO387" s="321"/>
      <c r="AP387" s="322"/>
      <c r="AQ387" s="315"/>
      <c r="AR387" s="315"/>
      <c r="AS387" s="315"/>
      <c r="AT387" s="315"/>
      <c r="AU387" s="308"/>
      <c r="AV387" s="323"/>
      <c r="AW387" s="324"/>
      <c r="AX387" s="323"/>
      <c r="AY387" s="315"/>
      <c r="AZ387" s="315"/>
      <c r="BA387" s="315"/>
    </row>
    <row r="388" spans="4:53" ht="12.75" customHeight="1" x14ac:dyDescent="0.3">
      <c r="D388" s="305"/>
      <c r="E388" s="302"/>
      <c r="F388" s="302"/>
      <c r="G388" s="302"/>
      <c r="H388" s="302"/>
      <c r="AF388" s="308"/>
      <c r="AG388" s="308"/>
      <c r="AH388" s="306"/>
      <c r="AI388" s="308"/>
      <c r="AJ388" s="318"/>
      <c r="AK388" s="319"/>
      <c r="AL388" s="320"/>
      <c r="AM388" s="315"/>
      <c r="AN388" s="315"/>
      <c r="AO388" s="321"/>
      <c r="AP388" s="322"/>
      <c r="AQ388" s="315"/>
      <c r="AR388" s="315"/>
      <c r="AS388" s="315"/>
      <c r="AT388" s="315"/>
      <c r="AU388" s="308"/>
      <c r="AV388" s="323"/>
      <c r="AW388" s="324"/>
      <c r="AX388" s="323"/>
      <c r="AY388" s="315"/>
      <c r="AZ388" s="315"/>
      <c r="BA388" s="315"/>
    </row>
    <row r="389" spans="4:53" ht="12.75" customHeight="1" x14ac:dyDescent="0.3">
      <c r="D389" s="305"/>
      <c r="E389" s="302"/>
      <c r="F389" s="302"/>
      <c r="G389" s="302"/>
      <c r="H389" s="302"/>
      <c r="AF389" s="308"/>
      <c r="AG389" s="308"/>
      <c r="AH389" s="306"/>
      <c r="AI389" s="308"/>
      <c r="AJ389" s="318"/>
      <c r="AK389" s="319"/>
      <c r="AL389" s="320"/>
      <c r="AM389" s="315"/>
      <c r="AN389" s="315"/>
      <c r="AO389" s="321"/>
      <c r="AP389" s="322"/>
      <c r="AQ389" s="315"/>
      <c r="AR389" s="315"/>
      <c r="AS389" s="315"/>
      <c r="AT389" s="315"/>
      <c r="AU389" s="308"/>
      <c r="AV389" s="323"/>
      <c r="AW389" s="324"/>
      <c r="AX389" s="323"/>
      <c r="AY389" s="315"/>
      <c r="AZ389" s="315"/>
      <c r="BA389" s="315"/>
    </row>
    <row r="390" spans="4:53" ht="12.75" customHeight="1" x14ac:dyDescent="0.3">
      <c r="D390" s="305"/>
      <c r="E390" s="302"/>
      <c r="F390" s="302"/>
      <c r="G390" s="302"/>
      <c r="H390" s="302"/>
      <c r="AF390" s="308"/>
      <c r="AG390" s="308"/>
      <c r="AH390" s="306"/>
      <c r="AI390" s="308"/>
      <c r="AJ390" s="318"/>
      <c r="AK390" s="319"/>
      <c r="AL390" s="320"/>
      <c r="AM390" s="315"/>
      <c r="AN390" s="315"/>
      <c r="AO390" s="321"/>
      <c r="AP390" s="322"/>
      <c r="AQ390" s="315"/>
      <c r="AR390" s="315"/>
      <c r="AS390" s="315"/>
      <c r="AT390" s="315"/>
      <c r="AU390" s="308"/>
      <c r="AV390" s="323"/>
      <c r="AW390" s="324"/>
      <c r="AX390" s="323"/>
      <c r="AY390" s="315"/>
      <c r="AZ390" s="315"/>
      <c r="BA390" s="315"/>
    </row>
    <row r="391" spans="4:53" ht="12.75" customHeight="1" x14ac:dyDescent="0.3">
      <c r="D391" s="305"/>
      <c r="E391" s="302"/>
      <c r="F391" s="302"/>
      <c r="G391" s="302"/>
      <c r="H391" s="302"/>
      <c r="AF391" s="308"/>
      <c r="AG391" s="308"/>
      <c r="AH391" s="306"/>
      <c r="AI391" s="308"/>
      <c r="AJ391" s="318"/>
      <c r="AK391" s="319"/>
      <c r="AL391" s="320"/>
      <c r="AM391" s="315"/>
      <c r="AN391" s="315"/>
      <c r="AO391" s="321"/>
      <c r="AP391" s="322"/>
      <c r="AQ391" s="315"/>
      <c r="AR391" s="315"/>
      <c r="AS391" s="315"/>
      <c r="AT391" s="315"/>
      <c r="AU391" s="308"/>
      <c r="AV391" s="323"/>
      <c r="AW391" s="324"/>
      <c r="AX391" s="323"/>
      <c r="AY391" s="315"/>
      <c r="AZ391" s="315"/>
      <c r="BA391" s="315"/>
    </row>
    <row r="392" spans="4:53" ht="12.75" customHeight="1" x14ac:dyDescent="0.3">
      <c r="D392" s="305"/>
      <c r="E392" s="302"/>
      <c r="F392" s="302"/>
      <c r="G392" s="302"/>
      <c r="H392" s="302"/>
      <c r="AF392" s="308"/>
      <c r="AG392" s="308"/>
      <c r="AH392" s="306"/>
      <c r="AI392" s="308"/>
      <c r="AJ392" s="318"/>
      <c r="AK392" s="319"/>
      <c r="AL392" s="320"/>
      <c r="AM392" s="315"/>
      <c r="AN392" s="315"/>
      <c r="AO392" s="321"/>
      <c r="AP392" s="322"/>
      <c r="AQ392" s="315"/>
      <c r="AR392" s="315"/>
      <c r="AS392" s="315"/>
      <c r="AT392" s="315"/>
      <c r="AU392" s="308"/>
      <c r="AV392" s="323"/>
      <c r="AW392" s="324"/>
      <c r="AX392" s="323"/>
      <c r="AY392" s="315"/>
      <c r="AZ392" s="315"/>
      <c r="BA392" s="315"/>
    </row>
    <row r="393" spans="4:53" ht="12.75" customHeight="1" x14ac:dyDescent="0.3">
      <c r="D393" s="305"/>
      <c r="E393" s="302"/>
      <c r="F393" s="302"/>
      <c r="G393" s="302"/>
      <c r="H393" s="302"/>
      <c r="AF393" s="308"/>
      <c r="AG393" s="308"/>
      <c r="AH393" s="306"/>
      <c r="AI393" s="308"/>
      <c r="AJ393" s="318"/>
      <c r="AK393" s="319"/>
      <c r="AL393" s="320"/>
      <c r="AM393" s="315"/>
      <c r="AN393" s="315"/>
      <c r="AO393" s="321"/>
      <c r="AP393" s="322"/>
      <c r="AQ393" s="315"/>
      <c r="AR393" s="315"/>
      <c r="AS393" s="315"/>
      <c r="AT393" s="315"/>
      <c r="AU393" s="308"/>
      <c r="AV393" s="323"/>
      <c r="AW393" s="324"/>
      <c r="AX393" s="323"/>
      <c r="AY393" s="315"/>
      <c r="AZ393" s="315"/>
      <c r="BA393" s="315"/>
    </row>
    <row r="394" spans="4:53" ht="12.75" customHeight="1" x14ac:dyDescent="0.3">
      <c r="D394" s="305"/>
      <c r="E394" s="302"/>
      <c r="F394" s="302"/>
      <c r="G394" s="302"/>
      <c r="H394" s="302"/>
      <c r="AF394" s="93"/>
      <c r="AI394" s="308"/>
      <c r="AJ394" s="318"/>
      <c r="AK394" s="319"/>
      <c r="AL394" s="320"/>
      <c r="AM394" s="315"/>
      <c r="AN394" s="315"/>
      <c r="AO394" s="321"/>
      <c r="AP394" s="322"/>
      <c r="AQ394" s="315"/>
      <c r="AR394" s="315"/>
      <c r="AS394" s="315"/>
      <c r="AT394" s="315"/>
      <c r="AU394" s="308"/>
      <c r="AV394" s="323"/>
      <c r="AW394" s="324"/>
      <c r="AX394" s="323"/>
      <c r="AY394" s="315"/>
      <c r="AZ394" s="315"/>
      <c r="BA394" s="315"/>
    </row>
    <row r="395" spans="4:53" ht="12.75" customHeight="1" x14ac:dyDescent="0.3">
      <c r="D395" s="305"/>
      <c r="E395" s="302"/>
      <c r="F395" s="302"/>
      <c r="G395" s="302"/>
      <c r="H395" s="302"/>
      <c r="AF395" s="93"/>
      <c r="AJ395" s="325"/>
      <c r="AS395" s="92"/>
    </row>
    <row r="396" spans="4:53" ht="12.75" customHeight="1" x14ac:dyDescent="0.3">
      <c r="D396" s="305"/>
      <c r="E396" s="302"/>
      <c r="F396" s="302"/>
      <c r="G396" s="302"/>
      <c r="H396" s="302"/>
      <c r="AF396" s="93"/>
      <c r="AJ396" s="325"/>
      <c r="AS396" s="92"/>
    </row>
    <row r="397" spans="4:53" ht="12.75" customHeight="1" x14ac:dyDescent="0.3">
      <c r="D397" s="305"/>
      <c r="E397" s="302"/>
      <c r="F397" s="302"/>
      <c r="G397" s="302"/>
      <c r="H397" s="302"/>
      <c r="AF397" s="93"/>
      <c r="AJ397" s="325"/>
      <c r="AS397" s="92"/>
    </row>
    <row r="398" spans="4:53" ht="12.75" customHeight="1" x14ac:dyDescent="0.3">
      <c r="D398" s="305"/>
      <c r="E398" s="302"/>
      <c r="F398" s="302"/>
      <c r="G398" s="302"/>
      <c r="H398" s="302"/>
      <c r="AF398" s="93"/>
      <c r="AJ398" s="325"/>
      <c r="AS398" s="92"/>
    </row>
    <row r="399" spans="4:53" ht="12.75" customHeight="1" x14ac:dyDescent="0.3">
      <c r="D399" s="305"/>
      <c r="E399" s="302"/>
      <c r="F399" s="302"/>
      <c r="G399" s="302"/>
      <c r="H399" s="302"/>
      <c r="AF399" s="93"/>
      <c r="AJ399" s="325"/>
      <c r="AS399" s="92"/>
    </row>
    <row r="400" spans="4:53" ht="12.75" customHeight="1" x14ac:dyDescent="0.3">
      <c r="D400" s="305"/>
      <c r="E400" s="302"/>
      <c r="F400" s="302"/>
      <c r="G400" s="302"/>
      <c r="H400" s="302"/>
      <c r="AF400" s="93"/>
      <c r="AJ400" s="325"/>
      <c r="AS400" s="92"/>
    </row>
    <row r="401" spans="4:45" ht="12.75" customHeight="1" x14ac:dyDescent="0.3">
      <c r="D401" s="305"/>
      <c r="E401" s="302"/>
      <c r="F401" s="302"/>
      <c r="G401" s="302"/>
      <c r="H401" s="302"/>
      <c r="AF401" s="93"/>
      <c r="AJ401" s="325"/>
      <c r="AS401" s="92"/>
    </row>
    <row r="402" spans="4:45" ht="12.75" customHeight="1" x14ac:dyDescent="0.3">
      <c r="D402" s="305"/>
      <c r="E402" s="302"/>
      <c r="F402" s="302"/>
      <c r="G402" s="302"/>
      <c r="H402" s="302"/>
      <c r="AJ402" s="325"/>
      <c r="AS402" s="92"/>
    </row>
    <row r="403" spans="4:45" ht="12.75" customHeight="1" x14ac:dyDescent="0.3">
      <c r="D403" s="305"/>
      <c r="E403" s="302"/>
      <c r="F403" s="302"/>
      <c r="G403" s="302"/>
      <c r="H403" s="302"/>
      <c r="AJ403" s="325"/>
    </row>
    <row r="404" spans="4:45" ht="12.75" customHeight="1" x14ac:dyDescent="0.3">
      <c r="D404" s="305"/>
      <c r="E404" s="302"/>
      <c r="F404" s="302"/>
      <c r="G404" s="302"/>
      <c r="H404" s="302"/>
      <c r="AJ404" s="325"/>
    </row>
    <row r="405" spans="4:45" ht="12.75" customHeight="1" x14ac:dyDescent="0.3">
      <c r="D405" s="305"/>
      <c r="E405" s="302"/>
      <c r="F405" s="302"/>
      <c r="G405" s="302"/>
      <c r="H405" s="302"/>
      <c r="AJ405" s="325"/>
    </row>
    <row r="406" spans="4:45" ht="12.75" customHeight="1" x14ac:dyDescent="0.3">
      <c r="D406" s="305"/>
      <c r="E406" s="302"/>
      <c r="F406" s="302"/>
      <c r="G406" s="302"/>
      <c r="H406" s="302"/>
      <c r="AJ406" s="325"/>
    </row>
    <row r="407" spans="4:45" ht="12.75" customHeight="1" x14ac:dyDescent="0.3">
      <c r="D407" s="305"/>
      <c r="E407" s="302"/>
      <c r="F407" s="302"/>
      <c r="G407" s="302"/>
      <c r="H407" s="302"/>
      <c r="AJ407" s="325"/>
    </row>
    <row r="408" spans="4:45" ht="12.75" customHeight="1" x14ac:dyDescent="0.3">
      <c r="D408" s="305"/>
      <c r="E408" s="302"/>
      <c r="F408" s="302"/>
      <c r="G408" s="302"/>
      <c r="H408" s="302"/>
      <c r="AJ408" s="325"/>
    </row>
    <row r="409" spans="4:45" ht="12.75" customHeight="1" x14ac:dyDescent="0.3">
      <c r="D409" s="305"/>
      <c r="E409" s="302"/>
      <c r="F409" s="302"/>
      <c r="G409" s="302"/>
      <c r="H409" s="302"/>
      <c r="AJ409" s="325"/>
    </row>
    <row r="410" spans="4:45" ht="12.75" customHeight="1" x14ac:dyDescent="0.3">
      <c r="D410" s="305"/>
      <c r="E410" s="302"/>
      <c r="F410" s="302"/>
      <c r="G410" s="302"/>
      <c r="H410" s="302"/>
    </row>
    <row r="411" spans="4:45" ht="12.75" customHeight="1" x14ac:dyDescent="0.3">
      <c r="D411" s="305"/>
      <c r="E411" s="302"/>
      <c r="F411" s="302"/>
      <c r="G411" s="302"/>
      <c r="H411" s="302"/>
    </row>
    <row r="412" spans="4:45" ht="12.75" customHeight="1" x14ac:dyDescent="0.3">
      <c r="D412" s="305"/>
      <c r="E412" s="302"/>
      <c r="F412" s="302"/>
      <c r="G412" s="302"/>
      <c r="H412" s="302"/>
    </row>
    <row r="413" spans="4:45" ht="12.75" customHeight="1" x14ac:dyDescent="0.3">
      <c r="D413" s="305"/>
      <c r="E413" s="302"/>
      <c r="F413" s="302"/>
      <c r="G413" s="302"/>
      <c r="H413" s="302"/>
    </row>
    <row r="414" spans="4:45" ht="12.75" customHeight="1" x14ac:dyDescent="0.3">
      <c r="D414" s="305"/>
      <c r="E414" s="302"/>
      <c r="F414" s="302"/>
      <c r="G414" s="302"/>
      <c r="H414" s="302"/>
    </row>
    <row r="415" spans="4:45" ht="12.75" customHeight="1" x14ac:dyDescent="0.3">
      <c r="D415" s="305"/>
      <c r="E415" s="302"/>
      <c r="F415" s="302"/>
      <c r="G415" s="302"/>
      <c r="H415" s="302"/>
    </row>
    <row r="416" spans="4:45" ht="12.75" customHeight="1" x14ac:dyDescent="0.3">
      <c r="D416" s="305"/>
      <c r="E416" s="302"/>
      <c r="F416" s="302"/>
      <c r="G416" s="302"/>
      <c r="H416" s="302"/>
    </row>
    <row r="417" spans="4:8" ht="12.75" customHeight="1" x14ac:dyDescent="0.3">
      <c r="D417" s="305"/>
      <c r="E417" s="302"/>
      <c r="F417" s="302"/>
      <c r="G417" s="302"/>
      <c r="H417" s="302"/>
    </row>
    <row r="418" spans="4:8" ht="12.75" customHeight="1" x14ac:dyDescent="0.3">
      <c r="D418" s="305"/>
      <c r="E418" s="302"/>
      <c r="F418" s="302"/>
      <c r="G418" s="302"/>
      <c r="H418" s="302"/>
    </row>
    <row r="419" spans="4:8" ht="12.75" customHeight="1" x14ac:dyDescent="0.3">
      <c r="D419" s="305"/>
      <c r="E419" s="302"/>
      <c r="F419" s="302"/>
      <c r="G419" s="302"/>
      <c r="H419" s="302"/>
    </row>
    <row r="420" spans="4:8" ht="12.75" customHeight="1" x14ac:dyDescent="0.3">
      <c r="D420" s="305"/>
      <c r="E420" s="302"/>
      <c r="F420" s="302"/>
      <c r="G420" s="302"/>
      <c r="H420" s="302"/>
    </row>
    <row r="421" spans="4:8" ht="12.75" customHeight="1" x14ac:dyDescent="0.3">
      <c r="D421" s="305"/>
      <c r="E421" s="302"/>
      <c r="F421" s="302"/>
      <c r="G421" s="302"/>
      <c r="H421" s="302"/>
    </row>
    <row r="422" spans="4:8" ht="12.75" customHeight="1" x14ac:dyDescent="0.3">
      <c r="D422" s="305"/>
      <c r="E422" s="302"/>
      <c r="F422" s="302"/>
      <c r="G422" s="302"/>
      <c r="H422" s="302"/>
    </row>
    <row r="423" spans="4:8" ht="12.75" customHeight="1" x14ac:dyDescent="0.3">
      <c r="D423" s="305"/>
      <c r="E423" s="302"/>
      <c r="F423" s="302"/>
      <c r="G423" s="302"/>
      <c r="H423" s="302"/>
    </row>
    <row r="424" spans="4:8" ht="12.75" customHeight="1" x14ac:dyDescent="0.3">
      <c r="D424" s="305"/>
      <c r="E424" s="302"/>
      <c r="F424" s="302"/>
      <c r="G424" s="302"/>
      <c r="H424" s="302"/>
    </row>
    <row r="425" spans="4:8" ht="12.75" customHeight="1" x14ac:dyDescent="0.3">
      <c r="D425" s="305"/>
      <c r="E425" s="302"/>
      <c r="F425" s="302"/>
      <c r="G425" s="302"/>
      <c r="H425" s="302"/>
    </row>
    <row r="426" spans="4:8" ht="12.75" customHeight="1" x14ac:dyDescent="0.3">
      <c r="D426" s="305"/>
      <c r="E426" s="302"/>
      <c r="F426" s="302"/>
      <c r="G426" s="302"/>
      <c r="H426" s="302"/>
    </row>
    <row r="427" spans="4:8" ht="12.75" customHeight="1" x14ac:dyDescent="0.3">
      <c r="D427" s="305"/>
      <c r="E427" s="302"/>
      <c r="F427" s="302"/>
      <c r="G427" s="302"/>
      <c r="H427" s="302"/>
    </row>
    <row r="428" spans="4:8" ht="12.75" customHeight="1" x14ac:dyDescent="0.3">
      <c r="D428" s="305"/>
      <c r="E428" s="302"/>
      <c r="F428" s="302"/>
      <c r="G428" s="302"/>
      <c r="H428" s="302"/>
    </row>
    <row r="429" spans="4:8" ht="12.75" customHeight="1" x14ac:dyDescent="0.3">
      <c r="D429" s="305"/>
      <c r="E429" s="302"/>
      <c r="F429" s="302"/>
      <c r="G429" s="302"/>
      <c r="H429" s="302"/>
    </row>
    <row r="430" spans="4:8" ht="12.75" customHeight="1" x14ac:dyDescent="0.3">
      <c r="D430" s="305"/>
      <c r="E430" s="302"/>
      <c r="F430" s="302"/>
      <c r="G430" s="302"/>
      <c r="H430" s="302"/>
    </row>
    <row r="431" spans="4:8" ht="12.75" customHeight="1" x14ac:dyDescent="0.3">
      <c r="D431" s="305"/>
      <c r="E431" s="302"/>
      <c r="F431" s="302"/>
      <c r="G431" s="302"/>
      <c r="H431" s="302"/>
    </row>
    <row r="432" spans="4:8" ht="12.75" customHeight="1" x14ac:dyDescent="0.3">
      <c r="D432" s="305"/>
      <c r="E432" s="302"/>
      <c r="F432" s="302"/>
      <c r="G432" s="302"/>
      <c r="H432" s="302"/>
    </row>
    <row r="433" spans="4:8" ht="12.75" customHeight="1" x14ac:dyDescent="0.3">
      <c r="D433" s="305"/>
      <c r="E433" s="302"/>
      <c r="F433" s="302"/>
      <c r="G433" s="302"/>
      <c r="H433" s="302"/>
    </row>
    <row r="434" spans="4:8" ht="12.75" customHeight="1" x14ac:dyDescent="0.3">
      <c r="D434" s="305"/>
      <c r="E434" s="302"/>
      <c r="F434" s="302"/>
      <c r="G434" s="302"/>
      <c r="H434" s="302"/>
    </row>
    <row r="435" spans="4:8" ht="12.75" customHeight="1" x14ac:dyDescent="0.3">
      <c r="D435" s="305"/>
      <c r="E435" s="302"/>
      <c r="F435" s="302"/>
      <c r="G435" s="302"/>
      <c r="H435" s="302"/>
    </row>
    <row r="436" spans="4:8" ht="12.75" customHeight="1" x14ac:dyDescent="0.3">
      <c r="D436" s="305"/>
      <c r="E436" s="302"/>
      <c r="F436" s="302"/>
      <c r="G436" s="302"/>
      <c r="H436" s="302"/>
    </row>
    <row r="437" spans="4:8" ht="12.75" customHeight="1" x14ac:dyDescent="0.3">
      <c r="D437" s="305"/>
      <c r="E437" s="302"/>
      <c r="F437" s="302"/>
      <c r="G437" s="302"/>
      <c r="H437" s="302"/>
    </row>
    <row r="438" spans="4:8" ht="12.75" customHeight="1" x14ac:dyDescent="0.3">
      <c r="D438" s="305"/>
      <c r="E438" s="302"/>
      <c r="F438" s="302"/>
      <c r="G438" s="302"/>
      <c r="H438" s="302"/>
    </row>
    <row r="439" spans="4:8" ht="12.75" customHeight="1" x14ac:dyDescent="0.3">
      <c r="D439" s="305"/>
      <c r="E439" s="302"/>
      <c r="F439" s="302"/>
      <c r="G439" s="302"/>
      <c r="H439" s="302"/>
    </row>
    <row r="440" spans="4:8" ht="12.75" customHeight="1" x14ac:dyDescent="0.3">
      <c r="D440" s="305"/>
      <c r="E440" s="302"/>
      <c r="F440" s="302"/>
      <c r="G440" s="302"/>
      <c r="H440" s="302"/>
    </row>
    <row r="441" spans="4:8" ht="12.75" customHeight="1" x14ac:dyDescent="0.3">
      <c r="D441" s="305"/>
      <c r="E441" s="302"/>
      <c r="F441" s="302"/>
      <c r="G441" s="302"/>
      <c r="H441" s="302"/>
    </row>
    <row r="442" spans="4:8" ht="12.75" customHeight="1" x14ac:dyDescent="0.3">
      <c r="D442" s="305"/>
      <c r="E442" s="302"/>
      <c r="F442" s="302"/>
      <c r="G442" s="302"/>
      <c r="H442" s="302"/>
    </row>
    <row r="443" spans="4:8" ht="12.75" customHeight="1" x14ac:dyDescent="0.3">
      <c r="D443" s="305"/>
      <c r="E443" s="302"/>
      <c r="F443" s="302"/>
      <c r="G443" s="302"/>
      <c r="H443" s="302"/>
    </row>
    <row r="444" spans="4:8" ht="12.75" customHeight="1" x14ac:dyDescent="0.3">
      <c r="D444" s="305"/>
      <c r="E444" s="302"/>
      <c r="F444" s="302"/>
      <c r="G444" s="302"/>
      <c r="H444" s="302"/>
    </row>
    <row r="445" spans="4:8" ht="12.75" customHeight="1" x14ac:dyDescent="0.3">
      <c r="D445" s="305"/>
      <c r="E445" s="302"/>
      <c r="F445" s="302"/>
      <c r="G445" s="302"/>
      <c r="H445" s="302"/>
    </row>
    <row r="446" spans="4:8" ht="12.75" customHeight="1" x14ac:dyDescent="0.3">
      <c r="D446" s="305"/>
      <c r="E446" s="302"/>
      <c r="F446" s="302"/>
      <c r="G446" s="302"/>
      <c r="H446" s="302"/>
    </row>
    <row r="447" spans="4:8" ht="12.75" customHeight="1" x14ac:dyDescent="0.3">
      <c r="D447" s="305"/>
      <c r="E447" s="302"/>
      <c r="F447" s="302"/>
      <c r="G447" s="302"/>
      <c r="H447" s="302"/>
    </row>
    <row r="448" spans="4:8" ht="12.75" customHeight="1" x14ac:dyDescent="0.3">
      <c r="D448" s="305"/>
      <c r="E448" s="302"/>
      <c r="F448" s="302"/>
      <c r="G448" s="302"/>
      <c r="H448" s="302"/>
    </row>
    <row r="449" spans="4:8" ht="12.75" customHeight="1" x14ac:dyDescent="0.3">
      <c r="D449" s="305"/>
      <c r="E449" s="302"/>
      <c r="F449" s="302"/>
      <c r="G449" s="302"/>
      <c r="H449" s="302"/>
    </row>
    <row r="450" spans="4:8" ht="12.75" customHeight="1" x14ac:dyDescent="0.3">
      <c r="D450" s="305"/>
      <c r="E450" s="302"/>
      <c r="F450" s="302"/>
      <c r="G450" s="302"/>
      <c r="H450" s="302"/>
    </row>
    <row r="451" spans="4:8" ht="12.75" customHeight="1" x14ac:dyDescent="0.3">
      <c r="D451" s="305"/>
      <c r="E451" s="302"/>
      <c r="F451" s="302"/>
      <c r="G451" s="302"/>
      <c r="H451" s="302"/>
    </row>
    <row r="452" spans="4:8" ht="12.75" customHeight="1" x14ac:dyDescent="0.3">
      <c r="D452" s="305"/>
      <c r="E452" s="302"/>
      <c r="F452" s="302"/>
      <c r="G452" s="302"/>
      <c r="H452" s="302"/>
    </row>
    <row r="453" spans="4:8" ht="12.75" customHeight="1" x14ac:dyDescent="0.3">
      <c r="D453" s="305"/>
      <c r="E453" s="302"/>
      <c r="F453" s="302"/>
      <c r="G453" s="302"/>
      <c r="H453" s="302"/>
    </row>
    <row r="454" spans="4:8" ht="12.75" customHeight="1" x14ac:dyDescent="0.3">
      <c r="D454" s="305"/>
      <c r="E454" s="302"/>
      <c r="F454" s="302"/>
      <c r="G454" s="302"/>
      <c r="H454" s="302"/>
    </row>
    <row r="455" spans="4:8" ht="12.75" customHeight="1" x14ac:dyDescent="0.3">
      <c r="D455" s="305"/>
      <c r="E455" s="302"/>
      <c r="F455" s="302"/>
      <c r="G455" s="302"/>
      <c r="H455" s="302"/>
    </row>
    <row r="456" spans="4:8" ht="12.75" customHeight="1" x14ac:dyDescent="0.3">
      <c r="D456" s="305"/>
      <c r="E456" s="302"/>
      <c r="F456" s="302"/>
      <c r="G456" s="302"/>
      <c r="H456" s="302"/>
    </row>
    <row r="457" spans="4:8" ht="12.75" customHeight="1" x14ac:dyDescent="0.3">
      <c r="D457" s="305"/>
      <c r="E457" s="302"/>
      <c r="F457" s="302"/>
      <c r="G457" s="302"/>
      <c r="H457" s="302"/>
    </row>
    <row r="458" spans="4:8" ht="12.75" customHeight="1" x14ac:dyDescent="0.3">
      <c r="D458" s="305"/>
      <c r="E458" s="302"/>
      <c r="F458" s="302"/>
      <c r="G458" s="302"/>
      <c r="H458" s="302"/>
    </row>
    <row r="459" spans="4:8" ht="12.75" customHeight="1" x14ac:dyDescent="0.3">
      <c r="D459" s="305"/>
      <c r="E459" s="302"/>
      <c r="F459" s="302"/>
      <c r="G459" s="302"/>
      <c r="H459" s="302"/>
    </row>
    <row r="460" spans="4:8" ht="12.75" customHeight="1" x14ac:dyDescent="0.3">
      <c r="D460" s="305"/>
      <c r="E460" s="302"/>
      <c r="F460" s="302"/>
      <c r="G460" s="302"/>
      <c r="H460" s="302"/>
    </row>
    <row r="461" spans="4:8" ht="12.75" customHeight="1" x14ac:dyDescent="0.3">
      <c r="D461" s="305"/>
      <c r="E461" s="302"/>
      <c r="F461" s="302"/>
      <c r="G461" s="302"/>
      <c r="H461" s="302"/>
    </row>
    <row r="462" spans="4:8" ht="12.75" customHeight="1" x14ac:dyDescent="0.3">
      <c r="D462" s="305"/>
      <c r="E462" s="302"/>
      <c r="F462" s="302"/>
      <c r="G462" s="302"/>
      <c r="H462" s="302"/>
    </row>
    <row r="463" spans="4:8" ht="12.75" customHeight="1" x14ac:dyDescent="0.3">
      <c r="D463" s="305"/>
      <c r="E463" s="302"/>
      <c r="F463" s="302"/>
      <c r="G463" s="302"/>
      <c r="H463" s="302"/>
    </row>
    <row r="464" spans="4:8" ht="12.75" customHeight="1" x14ac:dyDescent="0.3">
      <c r="D464" s="305"/>
      <c r="E464" s="302"/>
      <c r="F464" s="302"/>
      <c r="G464" s="302"/>
      <c r="H464" s="302"/>
    </row>
    <row r="465" spans="4:8" ht="12.75" customHeight="1" x14ac:dyDescent="0.3">
      <c r="D465" s="305"/>
      <c r="E465" s="302"/>
      <c r="F465" s="302"/>
      <c r="G465" s="302"/>
      <c r="H465" s="302"/>
    </row>
    <row r="466" spans="4:8" ht="12.75" customHeight="1" x14ac:dyDescent="0.3">
      <c r="D466" s="305"/>
      <c r="E466" s="302"/>
      <c r="F466" s="302"/>
      <c r="G466" s="302"/>
      <c r="H466" s="302"/>
    </row>
    <row r="467" spans="4:8" ht="12.75" customHeight="1" x14ac:dyDescent="0.3">
      <c r="D467" s="305"/>
      <c r="E467" s="302"/>
      <c r="F467" s="302"/>
      <c r="G467" s="302"/>
      <c r="H467" s="302"/>
    </row>
    <row r="468" spans="4:8" ht="12.75" customHeight="1" x14ac:dyDescent="0.3">
      <c r="D468" s="305"/>
      <c r="E468" s="302"/>
      <c r="F468" s="302"/>
      <c r="G468" s="302"/>
      <c r="H468" s="302"/>
    </row>
    <row r="469" spans="4:8" ht="12.75" customHeight="1" x14ac:dyDescent="0.3">
      <c r="D469" s="305"/>
      <c r="E469" s="302"/>
      <c r="F469" s="302"/>
      <c r="G469" s="302"/>
      <c r="H469" s="302"/>
    </row>
    <row r="470" spans="4:8" ht="12.75" customHeight="1" x14ac:dyDescent="0.3">
      <c r="D470" s="305"/>
      <c r="E470" s="302"/>
      <c r="F470" s="302"/>
      <c r="G470" s="302"/>
      <c r="H470" s="302"/>
    </row>
    <row r="471" spans="4:8" ht="12.75" customHeight="1" x14ac:dyDescent="0.3">
      <c r="D471" s="305"/>
      <c r="E471" s="302"/>
      <c r="F471" s="302"/>
      <c r="G471" s="302"/>
      <c r="H471" s="302"/>
    </row>
    <row r="472" spans="4:8" ht="12.75" customHeight="1" x14ac:dyDescent="0.3">
      <c r="D472" s="305"/>
      <c r="E472" s="302"/>
      <c r="F472" s="302"/>
      <c r="G472" s="302"/>
      <c r="H472" s="302"/>
    </row>
    <row r="473" spans="4:8" ht="12.75" customHeight="1" x14ac:dyDescent="0.3">
      <c r="D473" s="305"/>
      <c r="E473" s="302"/>
      <c r="F473" s="302"/>
      <c r="G473" s="302"/>
      <c r="H473" s="302"/>
    </row>
    <row r="474" spans="4:8" ht="12.75" customHeight="1" x14ac:dyDescent="0.3">
      <c r="D474" s="305"/>
      <c r="E474" s="302"/>
      <c r="F474" s="302"/>
      <c r="G474" s="302"/>
      <c r="H474" s="302"/>
    </row>
    <row r="475" spans="4:8" ht="12.75" customHeight="1" x14ac:dyDescent="0.3">
      <c r="D475" s="305"/>
      <c r="E475" s="302"/>
      <c r="F475" s="302"/>
      <c r="G475" s="302"/>
      <c r="H475" s="302"/>
    </row>
    <row r="476" spans="4:8" ht="12.75" customHeight="1" x14ac:dyDescent="0.3">
      <c r="D476" s="305"/>
      <c r="E476" s="302"/>
      <c r="F476" s="302"/>
      <c r="G476" s="302"/>
      <c r="H476" s="302"/>
    </row>
    <row r="477" spans="4:8" ht="12.75" customHeight="1" x14ac:dyDescent="0.3">
      <c r="D477" s="305"/>
      <c r="E477" s="302"/>
      <c r="F477" s="302"/>
      <c r="G477" s="302"/>
      <c r="H477" s="302"/>
    </row>
    <row r="478" spans="4:8" ht="12.75" customHeight="1" x14ac:dyDescent="0.3">
      <c r="D478" s="305"/>
      <c r="E478" s="302"/>
      <c r="F478" s="302"/>
      <c r="G478" s="302"/>
      <c r="H478" s="302"/>
    </row>
    <row r="479" spans="4:8" ht="12.75" customHeight="1" x14ac:dyDescent="0.3">
      <c r="D479" s="305"/>
      <c r="E479" s="302"/>
      <c r="F479" s="302"/>
      <c r="G479" s="302"/>
      <c r="H479" s="302"/>
    </row>
    <row r="480" spans="4:8" ht="12.75" customHeight="1" x14ac:dyDescent="0.3">
      <c r="D480" s="305"/>
      <c r="E480" s="302"/>
      <c r="F480" s="302"/>
      <c r="G480" s="302"/>
      <c r="H480" s="302"/>
    </row>
    <row r="481" spans="4:8" ht="12.75" customHeight="1" x14ac:dyDescent="0.3">
      <c r="D481" s="305"/>
      <c r="E481" s="302"/>
      <c r="F481" s="302"/>
      <c r="G481" s="302"/>
      <c r="H481" s="302"/>
    </row>
    <row r="482" spans="4:8" ht="12.75" customHeight="1" x14ac:dyDescent="0.3">
      <c r="D482" s="305"/>
      <c r="E482" s="302"/>
      <c r="F482" s="302"/>
      <c r="G482" s="302"/>
      <c r="H482" s="302"/>
    </row>
    <row r="483" spans="4:8" ht="12.75" customHeight="1" x14ac:dyDescent="0.3">
      <c r="D483" s="305"/>
      <c r="E483" s="302"/>
      <c r="F483" s="302"/>
      <c r="G483" s="302"/>
      <c r="H483" s="302"/>
    </row>
    <row r="484" spans="4:8" ht="12.75" customHeight="1" x14ac:dyDescent="0.3">
      <c r="D484" s="305"/>
      <c r="E484" s="302"/>
      <c r="F484" s="302"/>
      <c r="G484" s="302"/>
      <c r="H484" s="302"/>
    </row>
    <row r="485" spans="4:8" ht="12.75" customHeight="1" x14ac:dyDescent="0.3">
      <c r="D485" s="305"/>
      <c r="E485" s="302"/>
      <c r="F485" s="302"/>
      <c r="G485" s="302"/>
      <c r="H485" s="302"/>
    </row>
    <row r="486" spans="4:8" ht="12.75" customHeight="1" x14ac:dyDescent="0.3">
      <c r="D486" s="305"/>
      <c r="E486" s="302"/>
      <c r="F486" s="302"/>
      <c r="G486" s="302"/>
      <c r="H486" s="302"/>
    </row>
    <row r="487" spans="4:8" ht="12.75" customHeight="1" x14ac:dyDescent="0.3">
      <c r="D487" s="305"/>
      <c r="E487" s="302"/>
      <c r="F487" s="302"/>
      <c r="G487" s="302"/>
      <c r="H487" s="302"/>
    </row>
    <row r="488" spans="4:8" ht="12.75" customHeight="1" x14ac:dyDescent="0.3">
      <c r="D488" s="305"/>
      <c r="E488" s="302"/>
      <c r="F488" s="302"/>
      <c r="G488" s="302"/>
      <c r="H488" s="302"/>
    </row>
    <row r="489" spans="4:8" ht="12.75" customHeight="1" x14ac:dyDescent="0.3">
      <c r="D489" s="305"/>
      <c r="E489" s="302"/>
      <c r="F489" s="302"/>
      <c r="G489" s="302"/>
      <c r="H489" s="302"/>
    </row>
    <row r="490" spans="4:8" ht="12.75" customHeight="1" x14ac:dyDescent="0.3">
      <c r="D490" s="305"/>
      <c r="E490" s="302"/>
      <c r="F490" s="302"/>
      <c r="G490" s="302"/>
      <c r="H490" s="302"/>
    </row>
    <row r="491" spans="4:8" ht="12.75" customHeight="1" x14ac:dyDescent="0.3">
      <c r="D491" s="305"/>
      <c r="E491" s="302"/>
      <c r="F491" s="302"/>
      <c r="G491" s="302"/>
      <c r="H491" s="302"/>
    </row>
    <row r="492" spans="4:8" ht="12.75" customHeight="1" x14ac:dyDescent="0.3">
      <c r="D492" s="305"/>
      <c r="E492" s="302"/>
      <c r="F492" s="302"/>
      <c r="G492" s="302"/>
      <c r="H492" s="302"/>
    </row>
    <row r="493" spans="4:8" ht="12.75" customHeight="1" x14ac:dyDescent="0.3">
      <c r="D493" s="305"/>
      <c r="E493" s="302"/>
      <c r="F493" s="302"/>
      <c r="G493" s="302"/>
      <c r="H493" s="302"/>
    </row>
    <row r="494" spans="4:8" ht="12.75" customHeight="1" x14ac:dyDescent="0.3">
      <c r="D494" s="305"/>
      <c r="E494" s="302"/>
      <c r="F494" s="302"/>
      <c r="G494" s="302"/>
      <c r="H494" s="302"/>
    </row>
    <row r="495" spans="4:8" ht="12.75" customHeight="1" x14ac:dyDescent="0.3">
      <c r="D495" s="305"/>
      <c r="E495" s="302"/>
      <c r="F495" s="302"/>
      <c r="G495" s="302"/>
      <c r="H495" s="302"/>
    </row>
    <row r="496" spans="4:8" ht="12.75" customHeight="1" x14ac:dyDescent="0.3">
      <c r="D496" s="305"/>
      <c r="E496" s="302"/>
      <c r="F496" s="302"/>
      <c r="G496" s="302"/>
      <c r="H496" s="302"/>
    </row>
    <row r="497" spans="4:8" ht="12.75" customHeight="1" x14ac:dyDescent="0.3">
      <c r="D497" s="305"/>
      <c r="E497" s="302"/>
      <c r="F497" s="302"/>
      <c r="G497" s="302"/>
      <c r="H497" s="302"/>
    </row>
    <row r="498" spans="4:8" ht="12.75" customHeight="1" x14ac:dyDescent="0.3">
      <c r="D498" s="305"/>
      <c r="E498" s="302"/>
      <c r="F498" s="302"/>
      <c r="G498" s="302"/>
      <c r="H498" s="302"/>
    </row>
    <row r="499" spans="4:8" ht="12.75" customHeight="1" x14ac:dyDescent="0.3">
      <c r="D499" s="305"/>
      <c r="E499" s="302"/>
      <c r="F499" s="302"/>
      <c r="G499" s="302"/>
      <c r="H499" s="302"/>
    </row>
    <row r="500" spans="4:8" ht="12.75" customHeight="1" x14ac:dyDescent="0.3">
      <c r="D500" s="305"/>
      <c r="E500" s="302"/>
      <c r="F500" s="302"/>
      <c r="G500" s="302"/>
      <c r="H500" s="302"/>
    </row>
    <row r="501" spans="4:8" ht="12.75" customHeight="1" x14ac:dyDescent="0.3">
      <c r="D501" s="305"/>
      <c r="E501" s="302"/>
      <c r="F501" s="302"/>
      <c r="G501" s="302"/>
      <c r="H501" s="302"/>
    </row>
    <row r="502" spans="4:8" ht="12.75" customHeight="1" x14ac:dyDescent="0.3">
      <c r="D502" s="305"/>
      <c r="E502" s="302"/>
      <c r="F502" s="302"/>
      <c r="G502" s="302"/>
      <c r="H502" s="302"/>
    </row>
    <row r="503" spans="4:8" ht="12.75" customHeight="1" x14ac:dyDescent="0.3">
      <c r="D503" s="305"/>
      <c r="E503" s="302"/>
      <c r="F503" s="302"/>
      <c r="G503" s="302"/>
      <c r="H503" s="302"/>
    </row>
    <row r="504" spans="4:8" ht="12.75" customHeight="1" x14ac:dyDescent="0.3">
      <c r="D504" s="305"/>
      <c r="E504" s="302"/>
      <c r="F504" s="302"/>
      <c r="G504" s="302"/>
      <c r="H504" s="302"/>
    </row>
    <row r="505" spans="4:8" ht="12.75" customHeight="1" x14ac:dyDescent="0.3">
      <c r="D505" s="305"/>
      <c r="E505" s="302"/>
      <c r="F505" s="302"/>
      <c r="G505" s="302"/>
      <c r="H505" s="302"/>
    </row>
    <row r="506" spans="4:8" ht="12.75" customHeight="1" x14ac:dyDescent="0.3">
      <c r="D506" s="305"/>
      <c r="E506" s="302"/>
      <c r="F506" s="302"/>
      <c r="G506" s="302"/>
      <c r="H506" s="302"/>
    </row>
    <row r="507" spans="4:8" ht="12.75" customHeight="1" x14ac:dyDescent="0.3">
      <c r="D507" s="305"/>
      <c r="E507" s="302"/>
      <c r="F507" s="302"/>
      <c r="G507" s="302"/>
      <c r="H507" s="302"/>
    </row>
    <row r="508" spans="4:8" ht="12.75" customHeight="1" x14ac:dyDescent="0.3">
      <c r="D508" s="305"/>
      <c r="E508" s="302"/>
      <c r="F508" s="302"/>
      <c r="G508" s="302"/>
      <c r="H508" s="302"/>
    </row>
    <row r="509" spans="4:8" ht="12.75" customHeight="1" x14ac:dyDescent="0.3">
      <c r="D509" s="305"/>
      <c r="E509" s="302"/>
      <c r="F509" s="302"/>
      <c r="G509" s="302"/>
      <c r="H509" s="302"/>
    </row>
    <row r="510" spans="4:8" ht="12.75" customHeight="1" x14ac:dyDescent="0.3">
      <c r="D510" s="305"/>
      <c r="E510" s="302"/>
      <c r="F510" s="302"/>
      <c r="G510" s="302"/>
      <c r="H510" s="302"/>
    </row>
    <row r="511" spans="4:8" ht="12.75" customHeight="1" x14ac:dyDescent="0.3">
      <c r="D511" s="305"/>
      <c r="E511" s="302"/>
      <c r="F511" s="302"/>
      <c r="G511" s="302"/>
      <c r="H511" s="302"/>
    </row>
    <row r="512" spans="4:8" ht="12.75" customHeight="1" x14ac:dyDescent="0.3">
      <c r="D512" s="305"/>
      <c r="E512" s="302"/>
      <c r="F512" s="302"/>
      <c r="G512" s="302"/>
      <c r="H512" s="302"/>
    </row>
    <row r="513" spans="4:8" ht="12.75" customHeight="1" x14ac:dyDescent="0.3">
      <c r="D513" s="305"/>
      <c r="E513" s="302"/>
      <c r="F513" s="302"/>
      <c r="G513" s="302"/>
      <c r="H513" s="302"/>
    </row>
    <row r="514" spans="4:8" ht="12.75" customHeight="1" x14ac:dyDescent="0.3">
      <c r="D514" s="305"/>
      <c r="E514" s="302"/>
      <c r="F514" s="302"/>
      <c r="G514" s="302"/>
      <c r="H514" s="302"/>
    </row>
    <row r="515" spans="4:8" ht="12.75" customHeight="1" x14ac:dyDescent="0.3">
      <c r="D515" s="305"/>
      <c r="E515" s="302"/>
      <c r="F515" s="302"/>
      <c r="G515" s="302"/>
      <c r="H515" s="302"/>
    </row>
    <row r="516" spans="4:8" ht="12.75" customHeight="1" x14ac:dyDescent="0.3">
      <c r="D516" s="305"/>
      <c r="E516" s="302"/>
      <c r="F516" s="302"/>
      <c r="G516" s="302"/>
      <c r="H516" s="302"/>
    </row>
    <row r="517" spans="4:8" ht="12.75" customHeight="1" x14ac:dyDescent="0.3">
      <c r="D517" s="305"/>
      <c r="E517" s="302"/>
      <c r="F517" s="302"/>
      <c r="G517" s="302"/>
      <c r="H517" s="302"/>
    </row>
    <row r="518" spans="4:8" ht="12.75" customHeight="1" x14ac:dyDescent="0.3">
      <c r="D518" s="305"/>
      <c r="E518" s="302"/>
      <c r="F518" s="302"/>
      <c r="G518" s="302"/>
      <c r="H518" s="302"/>
    </row>
    <row r="519" spans="4:8" ht="12.75" customHeight="1" x14ac:dyDescent="0.3">
      <c r="D519" s="305"/>
      <c r="E519" s="302"/>
      <c r="F519" s="302"/>
      <c r="G519" s="302"/>
      <c r="H519" s="302"/>
    </row>
    <row r="520" spans="4:8" ht="12.75" customHeight="1" x14ac:dyDescent="0.3">
      <c r="D520" s="305"/>
      <c r="E520" s="302"/>
      <c r="F520" s="302"/>
      <c r="G520" s="302"/>
      <c r="H520" s="302"/>
    </row>
    <row r="521" spans="4:8" ht="12.75" customHeight="1" x14ac:dyDescent="0.3">
      <c r="D521" s="305"/>
      <c r="E521" s="302"/>
      <c r="F521" s="302"/>
      <c r="G521" s="302"/>
      <c r="H521" s="302"/>
    </row>
    <row r="522" spans="4:8" ht="12.75" customHeight="1" x14ac:dyDescent="0.3">
      <c r="D522" s="305"/>
      <c r="E522" s="302"/>
      <c r="F522" s="302"/>
      <c r="G522" s="302"/>
      <c r="H522" s="302"/>
    </row>
    <row r="523" spans="4:8" ht="12.75" customHeight="1" x14ac:dyDescent="0.3">
      <c r="D523" s="305"/>
      <c r="E523" s="302"/>
      <c r="F523" s="302"/>
      <c r="G523" s="302"/>
      <c r="H523" s="302"/>
    </row>
    <row r="524" spans="4:8" ht="12.75" customHeight="1" x14ac:dyDescent="0.3">
      <c r="D524" s="305"/>
      <c r="E524" s="302"/>
      <c r="F524" s="302"/>
      <c r="G524" s="302"/>
      <c r="H524" s="302"/>
    </row>
    <row r="525" spans="4:8" ht="12.75" customHeight="1" x14ac:dyDescent="0.3">
      <c r="D525" s="305"/>
      <c r="E525" s="302"/>
      <c r="F525" s="302"/>
      <c r="G525" s="302"/>
      <c r="H525" s="302"/>
    </row>
    <row r="526" spans="4:8" ht="12.75" customHeight="1" x14ac:dyDescent="0.3">
      <c r="D526" s="305"/>
      <c r="E526" s="302"/>
      <c r="F526" s="302"/>
      <c r="G526" s="302"/>
      <c r="H526" s="302"/>
    </row>
    <row r="527" spans="4:8" ht="12.75" customHeight="1" x14ac:dyDescent="0.3">
      <c r="D527" s="305"/>
      <c r="E527" s="302"/>
      <c r="F527" s="302"/>
      <c r="G527" s="302"/>
      <c r="H527" s="302"/>
    </row>
    <row r="528" spans="4:8" ht="12.75" customHeight="1" x14ac:dyDescent="0.3">
      <c r="D528" s="305"/>
      <c r="E528" s="302"/>
      <c r="F528" s="302"/>
      <c r="G528" s="302"/>
      <c r="H528" s="302"/>
    </row>
    <row r="529" spans="4:8" ht="12.75" customHeight="1" x14ac:dyDescent="0.3">
      <c r="D529" s="305"/>
      <c r="E529" s="302"/>
      <c r="F529" s="302"/>
      <c r="G529" s="302"/>
      <c r="H529" s="302"/>
    </row>
    <row r="530" spans="4:8" ht="12.75" customHeight="1" x14ac:dyDescent="0.3">
      <c r="D530" s="305"/>
      <c r="E530" s="302"/>
      <c r="F530" s="302"/>
      <c r="G530" s="302"/>
      <c r="H530" s="302"/>
    </row>
    <row r="531" spans="4:8" ht="12.75" customHeight="1" x14ac:dyDescent="0.3">
      <c r="D531" s="305"/>
      <c r="E531" s="302"/>
      <c r="F531" s="302"/>
      <c r="G531" s="302"/>
      <c r="H531" s="302"/>
    </row>
    <row r="532" spans="4:8" ht="12.75" customHeight="1" x14ac:dyDescent="0.3">
      <c r="D532" s="305"/>
      <c r="E532" s="302"/>
      <c r="F532" s="302"/>
      <c r="G532" s="302"/>
      <c r="H532" s="302"/>
    </row>
    <row r="533" spans="4:8" ht="12.75" customHeight="1" x14ac:dyDescent="0.3">
      <c r="D533" s="305"/>
      <c r="E533" s="302"/>
      <c r="F533" s="302"/>
      <c r="G533" s="302"/>
      <c r="H533" s="302"/>
    </row>
    <row r="534" spans="4:8" ht="12.75" customHeight="1" x14ac:dyDescent="0.3">
      <c r="D534" s="305"/>
      <c r="E534" s="302"/>
      <c r="F534" s="302"/>
      <c r="G534" s="302"/>
      <c r="H534" s="302"/>
    </row>
    <row r="535" spans="4:8" ht="12.75" customHeight="1" x14ac:dyDescent="0.3">
      <c r="D535" s="305"/>
      <c r="E535" s="302"/>
      <c r="F535" s="302"/>
      <c r="G535" s="302"/>
      <c r="H535" s="302"/>
    </row>
    <row r="536" spans="4:8" ht="12.75" customHeight="1" x14ac:dyDescent="0.3">
      <c r="D536" s="305"/>
      <c r="E536" s="302"/>
      <c r="F536" s="302"/>
      <c r="G536" s="302"/>
      <c r="H536" s="302"/>
    </row>
    <row r="537" spans="4:8" ht="12.75" customHeight="1" x14ac:dyDescent="0.3">
      <c r="D537" s="305"/>
      <c r="E537" s="302"/>
      <c r="F537" s="302"/>
      <c r="G537" s="302"/>
      <c r="H537" s="302"/>
    </row>
    <row r="538" spans="4:8" ht="12.75" customHeight="1" x14ac:dyDescent="0.3">
      <c r="D538" s="305"/>
      <c r="E538" s="302"/>
      <c r="F538" s="302"/>
      <c r="G538" s="302"/>
      <c r="H538" s="302"/>
    </row>
    <row r="539" spans="4:8" ht="12.75" customHeight="1" x14ac:dyDescent="0.3">
      <c r="D539" s="305"/>
      <c r="E539" s="302"/>
      <c r="F539" s="302"/>
      <c r="G539" s="302"/>
      <c r="H539" s="302"/>
    </row>
    <row r="540" spans="4:8" ht="12.75" customHeight="1" x14ac:dyDescent="0.3">
      <c r="D540" s="305"/>
      <c r="E540" s="302"/>
      <c r="F540" s="302"/>
      <c r="G540" s="302"/>
      <c r="H540" s="302"/>
    </row>
    <row r="541" spans="4:8" ht="12.75" customHeight="1" x14ac:dyDescent="0.3">
      <c r="D541" s="305"/>
      <c r="E541" s="302"/>
      <c r="F541" s="302"/>
      <c r="G541" s="302"/>
      <c r="H541" s="302"/>
    </row>
    <row r="542" spans="4:8" ht="12.75" customHeight="1" x14ac:dyDescent="0.3">
      <c r="D542" s="305"/>
      <c r="E542" s="302"/>
      <c r="F542" s="302"/>
      <c r="G542" s="302"/>
      <c r="H542" s="302"/>
    </row>
    <row r="543" spans="4:8" ht="12.75" customHeight="1" x14ac:dyDescent="0.3">
      <c r="D543" s="305"/>
      <c r="E543" s="302"/>
      <c r="F543" s="302"/>
      <c r="G543" s="302"/>
      <c r="H543" s="302"/>
    </row>
    <row r="544" spans="4:8" ht="12.75" customHeight="1" x14ac:dyDescent="0.3">
      <c r="D544" s="305"/>
      <c r="E544" s="302"/>
      <c r="F544" s="302"/>
      <c r="G544" s="302"/>
      <c r="H544" s="302"/>
    </row>
    <row r="545" spans="4:8" ht="12.75" customHeight="1" x14ac:dyDescent="0.3">
      <c r="D545" s="305"/>
      <c r="E545" s="302"/>
      <c r="F545" s="302"/>
      <c r="G545" s="302"/>
      <c r="H545" s="302"/>
    </row>
    <row r="546" spans="4:8" ht="12.75" customHeight="1" x14ac:dyDescent="0.3">
      <c r="D546" s="305"/>
      <c r="E546" s="302"/>
      <c r="F546" s="302"/>
      <c r="G546" s="302"/>
      <c r="H546" s="302"/>
    </row>
    <row r="547" spans="4:8" ht="12.75" customHeight="1" x14ac:dyDescent="0.3">
      <c r="D547" s="305"/>
      <c r="E547" s="302"/>
      <c r="F547" s="302"/>
      <c r="G547" s="302"/>
      <c r="H547" s="302"/>
    </row>
    <row r="548" spans="4:8" ht="12.75" customHeight="1" x14ac:dyDescent="0.3">
      <c r="D548" s="305"/>
      <c r="E548" s="302"/>
      <c r="F548" s="302"/>
      <c r="G548" s="302"/>
      <c r="H548" s="302"/>
    </row>
    <row r="549" spans="4:8" ht="12.75" customHeight="1" x14ac:dyDescent="0.3">
      <c r="D549" s="305"/>
      <c r="E549" s="302"/>
      <c r="F549" s="302"/>
      <c r="G549" s="302"/>
      <c r="H549" s="302"/>
    </row>
    <row r="550" spans="4:8" ht="12.75" customHeight="1" x14ac:dyDescent="0.3">
      <c r="D550" s="305"/>
      <c r="E550" s="302"/>
      <c r="F550" s="302"/>
      <c r="G550" s="302"/>
      <c r="H550" s="302"/>
    </row>
    <row r="551" spans="4:8" ht="12.75" customHeight="1" x14ac:dyDescent="0.3">
      <c r="D551" s="305"/>
      <c r="E551" s="302"/>
      <c r="F551" s="302"/>
      <c r="G551" s="302"/>
      <c r="H551" s="302"/>
    </row>
    <row r="552" spans="4:8" ht="12.75" customHeight="1" x14ac:dyDescent="0.3">
      <c r="D552" s="305"/>
      <c r="E552" s="302"/>
      <c r="F552" s="302"/>
      <c r="G552" s="302"/>
      <c r="H552" s="302"/>
    </row>
    <row r="553" spans="4:8" ht="12.75" customHeight="1" x14ac:dyDescent="0.3">
      <c r="D553" s="305"/>
      <c r="E553" s="302"/>
      <c r="F553" s="302"/>
      <c r="G553" s="302"/>
      <c r="H553" s="302"/>
    </row>
    <row r="554" spans="4:8" ht="12.75" customHeight="1" x14ac:dyDescent="0.3">
      <c r="D554" s="305"/>
      <c r="E554" s="302"/>
      <c r="F554" s="302"/>
      <c r="G554" s="302"/>
      <c r="H554" s="302"/>
    </row>
    <row r="555" spans="4:8" ht="12.75" customHeight="1" x14ac:dyDescent="0.3">
      <c r="D555" s="305"/>
      <c r="E555" s="302"/>
      <c r="F555" s="302"/>
      <c r="G555" s="302"/>
      <c r="H555" s="302"/>
    </row>
    <row r="556" spans="4:8" ht="12.75" customHeight="1" x14ac:dyDescent="0.3">
      <c r="D556" s="305"/>
      <c r="E556" s="302"/>
      <c r="F556" s="302"/>
      <c r="G556" s="302"/>
      <c r="H556" s="302"/>
    </row>
    <row r="557" spans="4:8" ht="12.75" customHeight="1" x14ac:dyDescent="0.3">
      <c r="D557" s="305"/>
      <c r="E557" s="302"/>
      <c r="F557" s="302"/>
      <c r="G557" s="302"/>
      <c r="H557" s="302"/>
    </row>
    <row r="558" spans="4:8" ht="12.75" customHeight="1" x14ac:dyDescent="0.3">
      <c r="D558" s="305"/>
      <c r="E558" s="302"/>
      <c r="F558" s="302"/>
      <c r="G558" s="302"/>
      <c r="H558" s="302"/>
    </row>
    <row r="559" spans="4:8" ht="12.75" customHeight="1" x14ac:dyDescent="0.3">
      <c r="D559" s="305"/>
      <c r="E559" s="302"/>
      <c r="F559" s="302"/>
      <c r="G559" s="302"/>
      <c r="H559" s="302"/>
    </row>
    <row r="560" spans="4:8" ht="12.75" customHeight="1" x14ac:dyDescent="0.3">
      <c r="D560" s="305"/>
      <c r="E560" s="302"/>
      <c r="F560" s="302"/>
      <c r="G560" s="302"/>
      <c r="H560" s="302"/>
    </row>
    <row r="561" spans="4:8" ht="12.75" customHeight="1" x14ac:dyDescent="0.3">
      <c r="D561" s="305"/>
      <c r="E561" s="302"/>
      <c r="F561" s="302"/>
      <c r="G561" s="302"/>
      <c r="H561" s="302"/>
    </row>
    <row r="562" spans="4:8" ht="12.75" customHeight="1" x14ac:dyDescent="0.3">
      <c r="D562" s="305"/>
      <c r="E562" s="302"/>
      <c r="F562" s="302"/>
      <c r="G562" s="302"/>
      <c r="H562" s="302"/>
    </row>
    <row r="563" spans="4:8" ht="12.75" customHeight="1" x14ac:dyDescent="0.3">
      <c r="D563" s="305"/>
      <c r="E563" s="302"/>
      <c r="F563" s="302"/>
      <c r="G563" s="302"/>
      <c r="H563" s="302"/>
    </row>
    <row r="564" spans="4:8" ht="12.75" customHeight="1" x14ac:dyDescent="0.3">
      <c r="D564" s="305"/>
      <c r="E564" s="302"/>
      <c r="F564" s="302"/>
      <c r="G564" s="302"/>
      <c r="H564" s="302"/>
    </row>
    <row r="565" spans="4:8" ht="12.75" customHeight="1" x14ac:dyDescent="0.3">
      <c r="D565" s="305"/>
      <c r="E565" s="302"/>
      <c r="F565" s="302"/>
      <c r="G565" s="302"/>
      <c r="H565" s="302"/>
    </row>
    <row r="566" spans="4:8" ht="12.75" customHeight="1" x14ac:dyDescent="0.3">
      <c r="D566" s="305"/>
      <c r="E566" s="302"/>
      <c r="F566" s="302"/>
      <c r="G566" s="302"/>
      <c r="H566" s="302"/>
    </row>
    <row r="567" spans="4:8" ht="12.75" customHeight="1" x14ac:dyDescent="0.3">
      <c r="D567" s="305"/>
      <c r="E567" s="302"/>
      <c r="F567" s="302"/>
      <c r="G567" s="302"/>
      <c r="H567" s="302"/>
    </row>
    <row r="568" spans="4:8" ht="12.75" customHeight="1" x14ac:dyDescent="0.3">
      <c r="D568" s="305"/>
      <c r="E568" s="302"/>
      <c r="F568" s="302"/>
      <c r="G568" s="302"/>
      <c r="H568" s="302"/>
    </row>
    <row r="569" spans="4:8" ht="12.75" customHeight="1" x14ac:dyDescent="0.3">
      <c r="D569" s="305"/>
      <c r="E569" s="302"/>
      <c r="F569" s="302"/>
      <c r="G569" s="302"/>
      <c r="H569" s="302"/>
    </row>
    <row r="570" spans="4:8" ht="12.75" customHeight="1" x14ac:dyDescent="0.3">
      <c r="D570" s="305"/>
      <c r="E570" s="302"/>
      <c r="F570" s="302"/>
      <c r="G570" s="302"/>
      <c r="H570" s="302"/>
    </row>
    <row r="571" spans="4:8" ht="12.75" customHeight="1" x14ac:dyDescent="0.3">
      <c r="D571" s="305"/>
      <c r="E571" s="302"/>
      <c r="F571" s="302"/>
      <c r="G571" s="302"/>
      <c r="H571" s="302"/>
    </row>
    <row r="572" spans="4:8" ht="12.75" customHeight="1" x14ac:dyDescent="0.3">
      <c r="D572" s="305"/>
      <c r="E572" s="302"/>
      <c r="F572" s="302"/>
      <c r="G572" s="302"/>
      <c r="H572" s="302"/>
    </row>
    <row r="573" spans="4:8" ht="12.75" customHeight="1" x14ac:dyDescent="0.3">
      <c r="D573" s="305"/>
      <c r="E573" s="302"/>
      <c r="F573" s="302"/>
      <c r="G573" s="302"/>
      <c r="H573" s="302"/>
    </row>
    <row r="574" spans="4:8" ht="12.75" customHeight="1" x14ac:dyDescent="0.3">
      <c r="D574" s="305"/>
      <c r="E574" s="302"/>
      <c r="F574" s="302"/>
      <c r="G574" s="302"/>
      <c r="H574" s="302"/>
    </row>
    <row r="575" spans="4:8" ht="12.75" customHeight="1" x14ac:dyDescent="0.3">
      <c r="D575" s="305"/>
      <c r="E575" s="302"/>
      <c r="F575" s="302"/>
      <c r="G575" s="302"/>
      <c r="H575" s="302"/>
    </row>
    <row r="576" spans="4:8" ht="12.75" customHeight="1" x14ac:dyDescent="0.3">
      <c r="D576" s="305"/>
      <c r="E576" s="302"/>
      <c r="F576" s="302"/>
      <c r="G576" s="302"/>
      <c r="H576" s="302"/>
    </row>
    <row r="577" spans="4:8" ht="12.75" customHeight="1" x14ac:dyDescent="0.3">
      <c r="D577" s="305"/>
      <c r="E577" s="302"/>
      <c r="F577" s="302"/>
      <c r="G577" s="302"/>
      <c r="H577" s="302"/>
    </row>
    <row r="578" spans="4:8" ht="12.75" customHeight="1" x14ac:dyDescent="0.3">
      <c r="D578" s="305"/>
      <c r="E578" s="302"/>
      <c r="F578" s="302"/>
      <c r="G578" s="302"/>
      <c r="H578" s="302"/>
    </row>
    <row r="579" spans="4:8" ht="12.75" customHeight="1" x14ac:dyDescent="0.3">
      <c r="D579" s="305"/>
      <c r="E579" s="302"/>
      <c r="F579" s="302"/>
      <c r="G579" s="302"/>
      <c r="H579" s="302"/>
    </row>
    <row r="580" spans="4:8" ht="12.75" customHeight="1" x14ac:dyDescent="0.3">
      <c r="D580" s="305"/>
      <c r="E580" s="302"/>
      <c r="F580" s="302"/>
      <c r="G580" s="302"/>
      <c r="H580" s="302"/>
    </row>
    <row r="581" spans="4:8" ht="12.75" customHeight="1" x14ac:dyDescent="0.3">
      <c r="D581" s="305"/>
      <c r="E581" s="302"/>
      <c r="F581" s="302"/>
      <c r="G581" s="302"/>
      <c r="H581" s="302"/>
    </row>
    <row r="582" spans="4:8" ht="12.75" customHeight="1" x14ac:dyDescent="0.3">
      <c r="D582" s="305"/>
      <c r="E582" s="302"/>
      <c r="F582" s="302"/>
      <c r="G582" s="302"/>
      <c r="H582" s="302"/>
    </row>
    <row r="583" spans="4:8" ht="12.75" customHeight="1" x14ac:dyDescent="0.3">
      <c r="D583" s="305"/>
      <c r="E583" s="302"/>
      <c r="F583" s="302"/>
      <c r="G583" s="302"/>
      <c r="H583" s="302"/>
    </row>
    <row r="584" spans="4:8" ht="12.75" customHeight="1" x14ac:dyDescent="0.3">
      <c r="D584" s="305"/>
      <c r="E584" s="302"/>
      <c r="F584" s="302"/>
      <c r="G584" s="302"/>
      <c r="H584" s="302"/>
    </row>
    <row r="585" spans="4:8" ht="12.75" customHeight="1" x14ac:dyDescent="0.3">
      <c r="D585" s="305"/>
      <c r="E585" s="302"/>
      <c r="F585" s="302"/>
      <c r="G585" s="302"/>
      <c r="H585" s="302"/>
    </row>
    <row r="586" spans="4:8" ht="12.75" customHeight="1" x14ac:dyDescent="0.3">
      <c r="D586" s="305"/>
      <c r="E586" s="302"/>
      <c r="F586" s="302"/>
      <c r="G586" s="302"/>
      <c r="H586" s="302"/>
    </row>
    <row r="587" spans="4:8" ht="12.75" customHeight="1" x14ac:dyDescent="0.3">
      <c r="D587" s="305"/>
      <c r="E587" s="302"/>
      <c r="F587" s="302"/>
      <c r="G587" s="302"/>
      <c r="H587" s="302"/>
    </row>
    <row r="588" spans="4:8" ht="12.75" customHeight="1" x14ac:dyDescent="0.3">
      <c r="D588" s="305"/>
      <c r="E588" s="302"/>
      <c r="F588" s="302"/>
      <c r="G588" s="302"/>
      <c r="H588" s="302"/>
    </row>
    <row r="589" spans="4:8" ht="12.75" customHeight="1" x14ac:dyDescent="0.3">
      <c r="D589" s="305"/>
      <c r="E589" s="302"/>
      <c r="F589" s="302"/>
      <c r="G589" s="302"/>
      <c r="H589" s="302"/>
    </row>
    <row r="590" spans="4:8" ht="12.75" customHeight="1" x14ac:dyDescent="0.3">
      <c r="D590" s="305"/>
      <c r="E590" s="302"/>
      <c r="F590" s="302"/>
      <c r="G590" s="302"/>
      <c r="H590" s="302"/>
    </row>
    <row r="591" spans="4:8" ht="12.75" customHeight="1" x14ac:dyDescent="0.3">
      <c r="D591" s="305"/>
      <c r="E591" s="302"/>
      <c r="F591" s="302"/>
      <c r="G591" s="302"/>
      <c r="H591" s="302"/>
    </row>
    <row r="592" spans="4:8" ht="12.75" customHeight="1" x14ac:dyDescent="0.3">
      <c r="D592" s="305"/>
      <c r="E592" s="302"/>
      <c r="F592" s="302"/>
      <c r="G592" s="302"/>
      <c r="H592" s="302"/>
    </row>
    <row r="593" spans="4:8" ht="12.75" customHeight="1" x14ac:dyDescent="0.3">
      <c r="D593" s="305"/>
      <c r="E593" s="302"/>
      <c r="F593" s="302"/>
      <c r="G593" s="302"/>
      <c r="H593" s="302"/>
    </row>
    <row r="594" spans="4:8" ht="12.75" customHeight="1" x14ac:dyDescent="0.3">
      <c r="D594" s="305"/>
      <c r="E594" s="302"/>
      <c r="F594" s="302"/>
      <c r="G594" s="302"/>
      <c r="H594" s="302"/>
    </row>
    <row r="595" spans="4:8" ht="12.75" customHeight="1" x14ac:dyDescent="0.3">
      <c r="D595" s="305"/>
      <c r="E595" s="302"/>
      <c r="F595" s="302"/>
      <c r="G595" s="302"/>
      <c r="H595" s="302"/>
    </row>
    <row r="596" spans="4:8" ht="12.75" customHeight="1" x14ac:dyDescent="0.3">
      <c r="D596" s="305"/>
      <c r="E596" s="302"/>
      <c r="F596" s="302"/>
      <c r="G596" s="302"/>
      <c r="H596" s="302"/>
    </row>
    <row r="597" spans="4:8" ht="12.75" customHeight="1" x14ac:dyDescent="0.3">
      <c r="D597" s="305"/>
      <c r="E597" s="302"/>
      <c r="F597" s="302"/>
      <c r="G597" s="302"/>
      <c r="H597" s="302"/>
    </row>
    <row r="598" spans="4:8" ht="12.75" customHeight="1" x14ac:dyDescent="0.3">
      <c r="D598" s="305"/>
      <c r="E598" s="302"/>
      <c r="F598" s="302"/>
      <c r="G598" s="302"/>
      <c r="H598" s="302"/>
    </row>
    <row r="599" spans="4:8" ht="12.75" customHeight="1" x14ac:dyDescent="0.3">
      <c r="D599" s="305"/>
      <c r="E599" s="302"/>
      <c r="F599" s="302"/>
      <c r="G599" s="302"/>
      <c r="H599" s="302"/>
    </row>
    <row r="600" spans="4:8" ht="12.75" customHeight="1" x14ac:dyDescent="0.3">
      <c r="D600" s="305"/>
      <c r="E600" s="302"/>
      <c r="F600" s="302"/>
      <c r="G600" s="302"/>
      <c r="H600" s="302"/>
    </row>
    <row r="601" spans="4:8" ht="12.75" customHeight="1" x14ac:dyDescent="0.3">
      <c r="D601" s="305"/>
      <c r="E601" s="302"/>
      <c r="F601" s="302"/>
      <c r="G601" s="302"/>
      <c r="H601" s="302"/>
    </row>
    <row r="602" spans="4:8" ht="12.75" customHeight="1" x14ac:dyDescent="0.3">
      <c r="D602" s="305"/>
      <c r="E602" s="302"/>
      <c r="F602" s="302"/>
      <c r="G602" s="302"/>
      <c r="H602" s="302"/>
    </row>
    <row r="603" spans="4:8" ht="12.75" customHeight="1" x14ac:dyDescent="0.3">
      <c r="D603" s="305"/>
      <c r="E603" s="302"/>
      <c r="F603" s="302"/>
      <c r="G603" s="302"/>
      <c r="H603" s="302"/>
    </row>
    <row r="604" spans="4:8" ht="12.75" customHeight="1" x14ac:dyDescent="0.3">
      <c r="D604" s="305"/>
      <c r="E604" s="302"/>
      <c r="F604" s="302"/>
      <c r="G604" s="302"/>
      <c r="H604" s="302"/>
    </row>
    <row r="605" spans="4:8" ht="12.75" customHeight="1" x14ac:dyDescent="0.3">
      <c r="D605" s="305"/>
      <c r="E605" s="302"/>
      <c r="F605" s="302"/>
      <c r="G605" s="302"/>
      <c r="H605" s="302"/>
    </row>
    <row r="606" spans="4:8" ht="12.75" customHeight="1" x14ac:dyDescent="0.3">
      <c r="D606" s="305"/>
      <c r="E606" s="302"/>
      <c r="F606" s="302"/>
      <c r="G606" s="302"/>
      <c r="H606" s="302"/>
    </row>
    <row r="607" spans="4:8" ht="12.75" customHeight="1" x14ac:dyDescent="0.3">
      <c r="D607" s="305"/>
      <c r="E607" s="302"/>
      <c r="F607" s="302"/>
      <c r="G607" s="302"/>
      <c r="H607" s="302"/>
    </row>
    <row r="608" spans="4:8" ht="12.75" customHeight="1" x14ac:dyDescent="0.3">
      <c r="D608" s="305"/>
      <c r="E608" s="302"/>
      <c r="F608" s="302"/>
      <c r="G608" s="302"/>
      <c r="H608" s="302"/>
    </row>
    <row r="609" spans="4:8" ht="12.75" customHeight="1" x14ac:dyDescent="0.3">
      <c r="D609" s="305"/>
      <c r="E609" s="302"/>
      <c r="F609" s="302"/>
      <c r="G609" s="302"/>
      <c r="H609" s="302"/>
    </row>
    <row r="610" spans="4:8" ht="12.75" customHeight="1" x14ac:dyDescent="0.3">
      <c r="D610" s="305"/>
      <c r="E610" s="302"/>
      <c r="F610" s="302"/>
      <c r="G610" s="302"/>
      <c r="H610" s="302"/>
    </row>
    <row r="611" spans="4:8" ht="12.75" customHeight="1" x14ac:dyDescent="0.3">
      <c r="D611" s="305"/>
      <c r="E611" s="302"/>
      <c r="F611" s="302"/>
      <c r="G611" s="302"/>
      <c r="H611" s="302"/>
    </row>
    <row r="612" spans="4:8" ht="12.75" customHeight="1" x14ac:dyDescent="0.3">
      <c r="D612" s="305"/>
      <c r="E612" s="302"/>
      <c r="F612" s="302"/>
      <c r="G612" s="302"/>
      <c r="H612" s="302"/>
    </row>
    <row r="613" spans="4:8" ht="12.75" customHeight="1" x14ac:dyDescent="0.3">
      <c r="D613" s="305"/>
      <c r="E613" s="302"/>
      <c r="F613" s="302"/>
      <c r="G613" s="302"/>
      <c r="H613" s="302"/>
    </row>
    <row r="614" spans="4:8" ht="12.75" customHeight="1" x14ac:dyDescent="0.3">
      <c r="D614" s="305"/>
      <c r="E614" s="302"/>
      <c r="F614" s="302"/>
      <c r="G614" s="302"/>
      <c r="H614" s="302"/>
    </row>
    <row r="615" spans="4:8" ht="12.75" customHeight="1" x14ac:dyDescent="0.3">
      <c r="D615" s="305"/>
      <c r="E615" s="302"/>
      <c r="F615" s="302"/>
      <c r="G615" s="302"/>
      <c r="H615" s="302"/>
    </row>
    <row r="616" spans="4:8" ht="12.75" customHeight="1" x14ac:dyDescent="0.3">
      <c r="D616" s="305"/>
      <c r="E616" s="302"/>
      <c r="F616" s="302"/>
      <c r="G616" s="302"/>
      <c r="H616" s="302"/>
    </row>
    <row r="617" spans="4:8" ht="12.75" customHeight="1" x14ac:dyDescent="0.3">
      <c r="D617" s="305"/>
      <c r="E617" s="302"/>
      <c r="F617" s="302"/>
      <c r="G617" s="302"/>
      <c r="H617" s="302"/>
    </row>
    <row r="618" spans="4:8" ht="12.75" customHeight="1" x14ac:dyDescent="0.3">
      <c r="D618" s="305"/>
      <c r="E618" s="302"/>
      <c r="F618" s="302"/>
      <c r="G618" s="302"/>
      <c r="H618" s="302"/>
    </row>
    <row r="619" spans="4:8" ht="12.75" customHeight="1" x14ac:dyDescent="0.3">
      <c r="D619" s="305"/>
      <c r="E619" s="302"/>
      <c r="F619" s="302"/>
      <c r="G619" s="302"/>
      <c r="H619" s="302"/>
    </row>
    <row r="620" spans="4:8" ht="12.75" customHeight="1" x14ac:dyDescent="0.3">
      <c r="D620" s="305"/>
      <c r="E620" s="302"/>
      <c r="F620" s="302"/>
      <c r="G620" s="302"/>
      <c r="H620" s="302"/>
    </row>
    <row r="621" spans="4:8" ht="12.75" customHeight="1" x14ac:dyDescent="0.3">
      <c r="D621" s="305"/>
      <c r="E621" s="302"/>
      <c r="F621" s="302"/>
      <c r="G621" s="302"/>
      <c r="H621" s="302"/>
    </row>
    <row r="622" spans="4:8" ht="12.75" customHeight="1" x14ac:dyDescent="0.3">
      <c r="D622" s="305"/>
      <c r="E622" s="302"/>
      <c r="F622" s="302"/>
      <c r="G622" s="302"/>
      <c r="H622" s="302"/>
    </row>
    <row r="623" spans="4:8" ht="12.75" customHeight="1" x14ac:dyDescent="0.3">
      <c r="D623" s="305"/>
      <c r="E623" s="302"/>
      <c r="F623" s="302"/>
      <c r="G623" s="302"/>
      <c r="H623" s="302"/>
    </row>
    <row r="624" spans="4:8" ht="12.75" customHeight="1" x14ac:dyDescent="0.3">
      <c r="D624" s="305"/>
      <c r="E624" s="302"/>
      <c r="F624" s="302"/>
      <c r="G624" s="302"/>
      <c r="H624" s="302"/>
    </row>
    <row r="625" spans="4:8" ht="12.75" customHeight="1" x14ac:dyDescent="0.3">
      <c r="D625" s="305"/>
      <c r="E625" s="302"/>
      <c r="F625" s="302"/>
      <c r="G625" s="302"/>
      <c r="H625" s="302"/>
    </row>
    <row r="626" spans="4:8" ht="12.75" customHeight="1" x14ac:dyDescent="0.3">
      <c r="D626" s="305"/>
      <c r="E626" s="302"/>
      <c r="F626" s="302"/>
      <c r="G626" s="302"/>
      <c r="H626" s="302"/>
    </row>
    <row r="627" spans="4:8" ht="12.75" customHeight="1" x14ac:dyDescent="0.3">
      <c r="D627" s="305"/>
      <c r="E627" s="302"/>
      <c r="F627" s="302"/>
      <c r="G627" s="302"/>
      <c r="H627" s="302"/>
    </row>
    <row r="628" spans="4:8" ht="12.75" customHeight="1" x14ac:dyDescent="0.3">
      <c r="D628" s="305"/>
      <c r="E628" s="302"/>
      <c r="F628" s="302"/>
      <c r="G628" s="302"/>
      <c r="H628" s="302"/>
    </row>
    <row r="629" spans="4:8" ht="12.75" customHeight="1" x14ac:dyDescent="0.3">
      <c r="D629" s="305"/>
      <c r="E629" s="302"/>
      <c r="F629" s="302"/>
      <c r="G629" s="302"/>
      <c r="H629" s="302"/>
    </row>
    <row r="630" spans="4:8" ht="12.75" customHeight="1" x14ac:dyDescent="0.3">
      <c r="D630" s="305"/>
      <c r="E630" s="302"/>
      <c r="F630" s="302"/>
      <c r="G630" s="302"/>
      <c r="H630" s="302"/>
    </row>
    <row r="631" spans="4:8" ht="12.75" customHeight="1" x14ac:dyDescent="0.3">
      <c r="D631" s="305"/>
      <c r="E631" s="302"/>
      <c r="F631" s="302"/>
      <c r="G631" s="302"/>
      <c r="H631" s="302"/>
    </row>
    <row r="632" spans="4:8" ht="12.75" customHeight="1" x14ac:dyDescent="0.3">
      <c r="D632" s="305"/>
      <c r="E632" s="302"/>
      <c r="F632" s="302"/>
      <c r="G632" s="302"/>
      <c r="H632" s="302"/>
    </row>
    <row r="633" spans="4:8" ht="12.75" customHeight="1" x14ac:dyDescent="0.3">
      <c r="D633" s="305"/>
      <c r="E633" s="302"/>
      <c r="F633" s="302"/>
      <c r="G633" s="302"/>
      <c r="H633" s="302"/>
    </row>
    <row r="634" spans="4:8" ht="12.75" customHeight="1" x14ac:dyDescent="0.3">
      <c r="D634" s="305"/>
      <c r="E634" s="302"/>
      <c r="F634" s="302"/>
      <c r="G634" s="302"/>
      <c r="H634" s="302"/>
    </row>
    <row r="635" spans="4:8" ht="12.75" customHeight="1" x14ac:dyDescent="0.3">
      <c r="D635" s="305"/>
      <c r="E635" s="302"/>
      <c r="F635" s="302"/>
      <c r="G635" s="302"/>
      <c r="H635" s="302"/>
    </row>
    <row r="636" spans="4:8" ht="12.75" customHeight="1" x14ac:dyDescent="0.3">
      <c r="D636" s="305"/>
      <c r="E636" s="302"/>
      <c r="F636" s="302"/>
      <c r="G636" s="302"/>
      <c r="H636" s="302"/>
    </row>
    <row r="637" spans="4:8" ht="12.75" customHeight="1" x14ac:dyDescent="0.3">
      <c r="D637" s="305"/>
      <c r="E637" s="302"/>
      <c r="F637" s="302"/>
      <c r="G637" s="302"/>
      <c r="H637" s="302"/>
    </row>
    <row r="638" spans="4:8" ht="12.75" customHeight="1" x14ac:dyDescent="0.3">
      <c r="D638" s="305"/>
      <c r="E638" s="302"/>
      <c r="F638" s="302"/>
      <c r="G638" s="302"/>
      <c r="H638" s="302"/>
    </row>
    <row r="639" spans="4:8" ht="12.75" customHeight="1" x14ac:dyDescent="0.3">
      <c r="D639" s="305"/>
      <c r="E639" s="302"/>
      <c r="F639" s="302"/>
      <c r="G639" s="302"/>
      <c r="H639" s="302"/>
    </row>
    <row r="640" spans="4:8" ht="12.75" customHeight="1" x14ac:dyDescent="0.3">
      <c r="D640" s="305"/>
      <c r="E640" s="302"/>
      <c r="F640" s="302"/>
      <c r="G640" s="302"/>
      <c r="H640" s="302"/>
    </row>
    <row r="641" spans="4:8" ht="12.75" customHeight="1" x14ac:dyDescent="0.3">
      <c r="D641" s="305"/>
      <c r="E641" s="302"/>
      <c r="F641" s="302"/>
      <c r="G641" s="302"/>
      <c r="H641" s="302"/>
    </row>
    <row r="642" spans="4:8" ht="12.75" customHeight="1" x14ac:dyDescent="0.3">
      <c r="D642" s="305"/>
      <c r="E642" s="302"/>
      <c r="F642" s="302"/>
      <c r="G642" s="302"/>
      <c r="H642" s="302"/>
    </row>
    <row r="643" spans="4:8" ht="12.75" customHeight="1" x14ac:dyDescent="0.3">
      <c r="D643" s="305"/>
      <c r="E643" s="302"/>
      <c r="F643" s="302"/>
      <c r="G643" s="302"/>
      <c r="H643" s="302"/>
    </row>
    <row r="644" spans="4:8" ht="12.75" customHeight="1" x14ac:dyDescent="0.3">
      <c r="D644" s="305"/>
      <c r="E644" s="302"/>
      <c r="F644" s="302"/>
      <c r="G644" s="302"/>
      <c r="H644" s="302"/>
    </row>
    <row r="645" spans="4:8" ht="12.75" customHeight="1" x14ac:dyDescent="0.3">
      <c r="D645" s="305"/>
      <c r="E645" s="302"/>
      <c r="F645" s="302"/>
      <c r="G645" s="302"/>
      <c r="H645" s="302"/>
    </row>
    <row r="646" spans="4:8" ht="12.75" customHeight="1" x14ac:dyDescent="0.3">
      <c r="D646" s="305"/>
      <c r="E646" s="302"/>
      <c r="F646" s="302"/>
      <c r="G646" s="302"/>
      <c r="H646" s="302"/>
    </row>
    <row r="647" spans="4:8" ht="12.75" customHeight="1" x14ac:dyDescent="0.3">
      <c r="D647" s="305"/>
      <c r="E647" s="302"/>
      <c r="F647" s="302"/>
      <c r="G647" s="302"/>
      <c r="H647" s="302"/>
    </row>
    <row r="648" spans="4:8" ht="12.75" customHeight="1" x14ac:dyDescent="0.3">
      <c r="D648" s="305"/>
      <c r="E648" s="302"/>
      <c r="F648" s="302"/>
      <c r="G648" s="302"/>
      <c r="H648" s="302"/>
    </row>
    <row r="649" spans="4:8" ht="12.75" customHeight="1" x14ac:dyDescent="0.3">
      <c r="D649" s="305"/>
      <c r="E649" s="302"/>
      <c r="F649" s="302"/>
      <c r="G649" s="302"/>
      <c r="H649" s="302"/>
    </row>
    <row r="650" spans="4:8" ht="12.75" customHeight="1" x14ac:dyDescent="0.3">
      <c r="D650" s="305"/>
      <c r="E650" s="302"/>
      <c r="F650" s="302"/>
      <c r="G650" s="302"/>
      <c r="H650" s="302"/>
    </row>
    <row r="651" spans="4:8" ht="12.75" customHeight="1" x14ac:dyDescent="0.3">
      <c r="D651" s="305"/>
      <c r="E651" s="302"/>
      <c r="F651" s="302"/>
      <c r="G651" s="302"/>
      <c r="H651" s="302"/>
    </row>
    <row r="652" spans="4:8" ht="12.75" customHeight="1" x14ac:dyDescent="0.3">
      <c r="D652" s="305"/>
      <c r="E652" s="302"/>
      <c r="F652" s="302"/>
      <c r="G652" s="302"/>
      <c r="H652" s="302"/>
    </row>
    <row r="653" spans="4:8" ht="12.75" customHeight="1" x14ac:dyDescent="0.3">
      <c r="D653" s="305"/>
      <c r="E653" s="302"/>
      <c r="F653" s="302"/>
      <c r="G653" s="302"/>
      <c r="H653" s="302"/>
    </row>
    <row r="654" spans="4:8" ht="12.75" customHeight="1" x14ac:dyDescent="0.3">
      <c r="D654" s="305"/>
      <c r="E654" s="302"/>
      <c r="F654" s="302"/>
      <c r="G654" s="302"/>
      <c r="H654" s="302"/>
    </row>
    <row r="655" spans="4:8" ht="12.75" customHeight="1" x14ac:dyDescent="0.3">
      <c r="D655" s="305"/>
      <c r="E655" s="302"/>
      <c r="F655" s="302"/>
      <c r="G655" s="302"/>
      <c r="H655" s="302"/>
    </row>
    <row r="656" spans="4:8" ht="12.75" customHeight="1" x14ac:dyDescent="0.3">
      <c r="D656" s="305"/>
      <c r="E656" s="302"/>
      <c r="F656" s="302"/>
      <c r="G656" s="302"/>
      <c r="H656" s="302"/>
    </row>
    <row r="657" spans="4:8" ht="12.75" customHeight="1" x14ac:dyDescent="0.3">
      <c r="D657" s="305"/>
      <c r="E657" s="302"/>
      <c r="F657" s="302"/>
      <c r="G657" s="302"/>
      <c r="H657" s="302"/>
    </row>
    <row r="658" spans="4:8" ht="12.75" customHeight="1" x14ac:dyDescent="0.3">
      <c r="D658" s="305"/>
      <c r="E658" s="302"/>
      <c r="F658" s="302"/>
      <c r="G658" s="302"/>
      <c r="H658" s="302"/>
    </row>
    <row r="659" spans="4:8" ht="12.75" customHeight="1" x14ac:dyDescent="0.3">
      <c r="D659" s="305"/>
      <c r="E659" s="302"/>
      <c r="F659" s="302"/>
      <c r="G659" s="302"/>
      <c r="H659" s="302"/>
    </row>
    <row r="660" spans="4:8" ht="12.75" customHeight="1" x14ac:dyDescent="0.3">
      <c r="D660" s="305"/>
      <c r="E660" s="302"/>
      <c r="F660" s="302"/>
      <c r="G660" s="302"/>
      <c r="H660" s="302"/>
    </row>
    <row r="661" spans="4:8" ht="12.75" customHeight="1" x14ac:dyDescent="0.3">
      <c r="D661" s="305"/>
      <c r="E661" s="302"/>
      <c r="F661" s="302"/>
      <c r="G661" s="302"/>
      <c r="H661" s="302"/>
    </row>
    <row r="662" spans="4:8" ht="12.75" customHeight="1" x14ac:dyDescent="0.3">
      <c r="D662" s="305"/>
      <c r="E662" s="302"/>
      <c r="F662" s="302"/>
      <c r="G662" s="302"/>
      <c r="H662" s="302"/>
    </row>
    <row r="663" spans="4:8" ht="12.75" customHeight="1" x14ac:dyDescent="0.3">
      <c r="D663" s="305"/>
      <c r="E663" s="302"/>
      <c r="F663" s="302"/>
      <c r="G663" s="302"/>
      <c r="H663" s="302"/>
    </row>
    <row r="664" spans="4:8" ht="12.75" customHeight="1" x14ac:dyDescent="0.3">
      <c r="D664" s="305"/>
      <c r="E664" s="302"/>
      <c r="F664" s="302"/>
      <c r="G664" s="302"/>
      <c r="H664" s="302"/>
    </row>
    <row r="665" spans="4:8" ht="12.75" customHeight="1" x14ac:dyDescent="0.3">
      <c r="D665" s="305"/>
      <c r="E665" s="302"/>
      <c r="F665" s="302"/>
      <c r="G665" s="302"/>
      <c r="H665" s="302"/>
    </row>
    <row r="666" spans="4:8" ht="12.75" customHeight="1" x14ac:dyDescent="0.3">
      <c r="D666" s="305"/>
      <c r="E666" s="302"/>
      <c r="F666" s="302"/>
      <c r="G666" s="302"/>
      <c r="H666" s="302"/>
    </row>
    <row r="667" spans="4:8" ht="12.75" customHeight="1" x14ac:dyDescent="0.3">
      <c r="D667" s="305"/>
      <c r="E667" s="302"/>
      <c r="F667" s="302"/>
      <c r="G667" s="302"/>
      <c r="H667" s="302"/>
    </row>
    <row r="668" spans="4:8" ht="12.75" customHeight="1" x14ac:dyDescent="0.3">
      <c r="D668" s="305"/>
      <c r="E668" s="302"/>
      <c r="F668" s="302"/>
      <c r="G668" s="302"/>
      <c r="H668" s="302"/>
    </row>
    <row r="669" spans="4:8" ht="12.75" customHeight="1" x14ac:dyDescent="0.3">
      <c r="D669" s="305"/>
      <c r="E669" s="302"/>
      <c r="F669" s="302"/>
      <c r="G669" s="302"/>
      <c r="H669" s="302"/>
    </row>
    <row r="670" spans="4:8" ht="12.75" customHeight="1" x14ac:dyDescent="0.3">
      <c r="D670" s="305"/>
      <c r="E670" s="302"/>
      <c r="F670" s="302"/>
      <c r="G670" s="302"/>
      <c r="H670" s="302"/>
    </row>
    <row r="671" spans="4:8" ht="12.75" customHeight="1" x14ac:dyDescent="0.3">
      <c r="D671" s="305"/>
      <c r="E671" s="302"/>
      <c r="F671" s="302"/>
      <c r="G671" s="302"/>
      <c r="H671" s="302"/>
    </row>
    <row r="672" spans="4:8" ht="12.75" customHeight="1" x14ac:dyDescent="0.3">
      <c r="D672" s="305"/>
      <c r="E672" s="302"/>
      <c r="F672" s="302"/>
      <c r="G672" s="302"/>
      <c r="H672" s="302"/>
    </row>
    <row r="673" spans="4:8" ht="12.75" customHeight="1" x14ac:dyDescent="0.3">
      <c r="D673" s="305"/>
      <c r="E673" s="302"/>
      <c r="F673" s="302"/>
      <c r="G673" s="302"/>
      <c r="H673" s="302"/>
    </row>
    <row r="674" spans="4:8" ht="12.75" customHeight="1" x14ac:dyDescent="0.3">
      <c r="D674" s="305"/>
      <c r="E674" s="302"/>
      <c r="F674" s="302"/>
      <c r="G674" s="302"/>
      <c r="H674" s="302"/>
    </row>
    <row r="675" spans="4:8" ht="12.75" customHeight="1" x14ac:dyDescent="0.3">
      <c r="D675" s="305"/>
      <c r="E675" s="302"/>
      <c r="F675" s="302"/>
      <c r="G675" s="302"/>
      <c r="H675" s="302"/>
    </row>
    <row r="676" spans="4:8" ht="12.75" customHeight="1" x14ac:dyDescent="0.3">
      <c r="D676" s="305"/>
      <c r="E676" s="302"/>
      <c r="F676" s="302"/>
      <c r="G676" s="302"/>
      <c r="H676" s="302"/>
    </row>
    <row r="677" spans="4:8" ht="12.75" customHeight="1" x14ac:dyDescent="0.3">
      <c r="D677" s="305"/>
      <c r="E677" s="302"/>
      <c r="F677" s="302"/>
      <c r="G677" s="302"/>
      <c r="H677" s="302"/>
    </row>
    <row r="678" spans="4:8" ht="12.75" customHeight="1" x14ac:dyDescent="0.3">
      <c r="D678" s="305"/>
      <c r="E678" s="302"/>
      <c r="F678" s="302"/>
      <c r="G678" s="302"/>
      <c r="H678" s="302"/>
    </row>
    <row r="679" spans="4:8" ht="12.75" customHeight="1" x14ac:dyDescent="0.3">
      <c r="D679" s="305"/>
      <c r="E679" s="302"/>
      <c r="F679" s="302"/>
      <c r="G679" s="302"/>
      <c r="H679" s="302"/>
    </row>
    <row r="680" spans="4:8" ht="12.75" customHeight="1" x14ac:dyDescent="0.3">
      <c r="D680" s="305"/>
      <c r="E680" s="302"/>
      <c r="F680" s="302"/>
      <c r="G680" s="302"/>
      <c r="H680" s="302"/>
    </row>
    <row r="681" spans="4:8" ht="12.75" customHeight="1" x14ac:dyDescent="0.3">
      <c r="D681" s="305"/>
      <c r="E681" s="302"/>
      <c r="F681" s="302"/>
      <c r="G681" s="302"/>
      <c r="H681" s="302"/>
    </row>
    <row r="682" spans="4:8" ht="12.75" customHeight="1" x14ac:dyDescent="0.3">
      <c r="D682" s="305"/>
      <c r="E682" s="302"/>
      <c r="F682" s="302"/>
      <c r="G682" s="302"/>
      <c r="H682" s="302"/>
    </row>
    <row r="683" spans="4:8" ht="12.75" customHeight="1" x14ac:dyDescent="0.3">
      <c r="D683" s="305"/>
      <c r="E683" s="302"/>
      <c r="F683" s="302"/>
      <c r="G683" s="302"/>
      <c r="H683" s="302"/>
    </row>
    <row r="684" spans="4:8" ht="12.75" customHeight="1" x14ac:dyDescent="0.3">
      <c r="D684" s="305"/>
      <c r="E684" s="302"/>
      <c r="F684" s="302"/>
      <c r="G684" s="302"/>
      <c r="H684" s="302"/>
    </row>
    <row r="685" spans="4:8" ht="12.75" customHeight="1" x14ac:dyDescent="0.3">
      <c r="D685" s="305"/>
      <c r="E685" s="302"/>
      <c r="F685" s="302"/>
      <c r="G685" s="302"/>
      <c r="H685" s="302"/>
    </row>
    <row r="686" spans="4:8" ht="12.75" customHeight="1" x14ac:dyDescent="0.3">
      <c r="D686" s="305"/>
      <c r="E686" s="302"/>
      <c r="F686" s="302"/>
      <c r="G686" s="302"/>
      <c r="H686" s="302"/>
    </row>
    <row r="687" spans="4:8" ht="12.75" customHeight="1" x14ac:dyDescent="0.3">
      <c r="D687" s="305"/>
      <c r="E687" s="302"/>
      <c r="F687" s="302"/>
      <c r="G687" s="302"/>
      <c r="H687" s="302"/>
    </row>
    <row r="688" spans="4:8" ht="12.75" customHeight="1" x14ac:dyDescent="0.3">
      <c r="D688" s="305"/>
      <c r="E688" s="302"/>
      <c r="F688" s="302"/>
      <c r="G688" s="302"/>
      <c r="H688" s="302"/>
    </row>
    <row r="689" spans="4:8" ht="12.75" customHeight="1" x14ac:dyDescent="0.3">
      <c r="D689" s="305"/>
      <c r="E689" s="302"/>
      <c r="F689" s="302"/>
      <c r="G689" s="302"/>
      <c r="H689" s="302"/>
    </row>
    <row r="690" spans="4:8" ht="12.75" customHeight="1" x14ac:dyDescent="0.3">
      <c r="D690" s="305"/>
      <c r="E690" s="302"/>
      <c r="F690" s="302"/>
      <c r="G690" s="302"/>
      <c r="H690" s="302"/>
    </row>
    <row r="691" spans="4:8" ht="12.75" customHeight="1" x14ac:dyDescent="0.3">
      <c r="D691" s="305"/>
      <c r="E691" s="302"/>
      <c r="F691" s="302"/>
      <c r="G691" s="302"/>
      <c r="H691" s="302"/>
    </row>
    <row r="692" spans="4:8" ht="12.75" customHeight="1" x14ac:dyDescent="0.3">
      <c r="D692" s="305"/>
      <c r="E692" s="302"/>
      <c r="F692" s="302"/>
      <c r="G692" s="302"/>
      <c r="H692" s="302"/>
    </row>
    <row r="693" spans="4:8" ht="12.75" customHeight="1" x14ac:dyDescent="0.3">
      <c r="D693" s="305"/>
      <c r="E693" s="302"/>
      <c r="F693" s="302"/>
      <c r="G693" s="302"/>
      <c r="H693" s="302"/>
    </row>
    <row r="694" spans="4:8" ht="12.75" customHeight="1" x14ac:dyDescent="0.3">
      <c r="D694" s="305"/>
      <c r="E694" s="302"/>
      <c r="F694" s="302"/>
      <c r="G694" s="302"/>
      <c r="H694" s="302"/>
    </row>
    <row r="695" spans="4:8" ht="12.75" customHeight="1" x14ac:dyDescent="0.3">
      <c r="D695" s="305"/>
      <c r="E695" s="302"/>
      <c r="F695" s="302"/>
      <c r="G695" s="302"/>
      <c r="H695" s="302"/>
    </row>
    <row r="696" spans="4:8" ht="12.75" customHeight="1" x14ac:dyDescent="0.3">
      <c r="D696" s="305"/>
      <c r="E696" s="302"/>
      <c r="F696" s="302"/>
      <c r="G696" s="302"/>
      <c r="H696" s="302"/>
    </row>
    <row r="697" spans="4:8" ht="12.75" customHeight="1" x14ac:dyDescent="0.3">
      <c r="D697" s="305"/>
      <c r="E697" s="302"/>
      <c r="F697" s="302"/>
      <c r="G697" s="302"/>
      <c r="H697" s="302"/>
    </row>
    <row r="698" spans="4:8" ht="12.75" customHeight="1" x14ac:dyDescent="0.3">
      <c r="D698" s="305"/>
      <c r="E698" s="302"/>
      <c r="F698" s="302"/>
      <c r="G698" s="302"/>
      <c r="H698" s="302"/>
    </row>
    <row r="699" spans="4:8" ht="12.75" customHeight="1" x14ac:dyDescent="0.3">
      <c r="D699" s="305"/>
      <c r="E699" s="302"/>
      <c r="F699" s="302"/>
      <c r="G699" s="302"/>
      <c r="H699" s="302"/>
    </row>
    <row r="700" spans="4:8" ht="12.75" customHeight="1" x14ac:dyDescent="0.3">
      <c r="D700" s="305"/>
      <c r="E700" s="302"/>
      <c r="F700" s="302"/>
      <c r="G700" s="302"/>
      <c r="H700" s="302"/>
    </row>
    <row r="701" spans="4:8" ht="12.75" customHeight="1" x14ac:dyDescent="0.3">
      <c r="D701" s="305"/>
      <c r="E701" s="302"/>
      <c r="F701" s="302"/>
      <c r="G701" s="302"/>
      <c r="H701" s="302"/>
    </row>
    <row r="702" spans="4:8" ht="12.75" customHeight="1" x14ac:dyDescent="0.3">
      <c r="D702" s="305"/>
      <c r="E702" s="302"/>
      <c r="F702" s="302"/>
      <c r="G702" s="302"/>
      <c r="H702" s="302"/>
    </row>
    <row r="703" spans="4:8" ht="12.75" customHeight="1" x14ac:dyDescent="0.3">
      <c r="D703" s="305"/>
      <c r="E703" s="302"/>
      <c r="F703" s="302"/>
      <c r="G703" s="302"/>
      <c r="H703" s="302"/>
    </row>
    <row r="704" spans="4:8" ht="12.75" customHeight="1" x14ac:dyDescent="0.3">
      <c r="D704" s="305"/>
      <c r="E704" s="302"/>
      <c r="F704" s="302"/>
      <c r="G704" s="302"/>
      <c r="H704" s="302"/>
    </row>
    <row r="705" spans="4:8" ht="12.75" customHeight="1" x14ac:dyDescent="0.3">
      <c r="D705" s="305"/>
      <c r="E705" s="302"/>
      <c r="F705" s="302"/>
      <c r="G705" s="302"/>
      <c r="H705" s="302"/>
    </row>
    <row r="706" spans="4:8" ht="12.75" customHeight="1" x14ac:dyDescent="0.3">
      <c r="D706" s="305"/>
      <c r="E706" s="302"/>
      <c r="F706" s="302"/>
      <c r="G706" s="302"/>
      <c r="H706" s="302"/>
    </row>
    <row r="707" spans="4:8" ht="12.75" customHeight="1" x14ac:dyDescent="0.3">
      <c r="D707" s="305"/>
      <c r="E707" s="302"/>
      <c r="F707" s="302"/>
      <c r="G707" s="302"/>
      <c r="H707" s="302"/>
    </row>
    <row r="708" spans="4:8" ht="12.75" customHeight="1" x14ac:dyDescent="0.3">
      <c r="D708" s="305"/>
      <c r="E708" s="302"/>
      <c r="F708" s="302"/>
      <c r="G708" s="302"/>
      <c r="H708" s="302"/>
    </row>
    <row r="709" spans="4:8" ht="12.75" customHeight="1" x14ac:dyDescent="0.3">
      <c r="D709" s="305"/>
      <c r="E709" s="302"/>
      <c r="F709" s="302"/>
      <c r="G709" s="302"/>
      <c r="H709" s="302"/>
    </row>
    <row r="710" spans="4:8" ht="12.75" customHeight="1" x14ac:dyDescent="0.3">
      <c r="D710" s="305"/>
      <c r="E710" s="302"/>
      <c r="F710" s="302"/>
      <c r="G710" s="302"/>
      <c r="H710" s="302"/>
    </row>
    <row r="711" spans="4:8" ht="12.75" customHeight="1" x14ac:dyDescent="0.3">
      <c r="D711" s="305"/>
      <c r="E711" s="302"/>
      <c r="F711" s="302"/>
      <c r="G711" s="302"/>
      <c r="H711" s="302"/>
    </row>
    <row r="712" spans="4:8" ht="12.75" customHeight="1" x14ac:dyDescent="0.3">
      <c r="D712" s="305"/>
      <c r="E712" s="302"/>
      <c r="F712" s="302"/>
      <c r="G712" s="302"/>
      <c r="H712" s="302"/>
    </row>
    <row r="713" spans="4:8" ht="12.75" customHeight="1" x14ac:dyDescent="0.3">
      <c r="D713" s="305"/>
      <c r="E713" s="302"/>
      <c r="F713" s="302"/>
      <c r="G713" s="302"/>
      <c r="H713" s="302"/>
    </row>
    <row r="714" spans="4:8" ht="12.75" customHeight="1" x14ac:dyDescent="0.3">
      <c r="D714" s="305"/>
      <c r="E714" s="302"/>
      <c r="F714" s="302"/>
      <c r="G714" s="302"/>
      <c r="H714" s="302"/>
    </row>
    <row r="715" spans="4:8" ht="12.75" customHeight="1" x14ac:dyDescent="0.3">
      <c r="D715" s="305"/>
      <c r="E715" s="302"/>
      <c r="F715" s="302"/>
      <c r="G715" s="302"/>
      <c r="H715" s="302"/>
    </row>
    <row r="716" spans="4:8" ht="12.75" customHeight="1" x14ac:dyDescent="0.3">
      <c r="D716" s="305"/>
      <c r="E716" s="302"/>
      <c r="F716" s="302"/>
      <c r="G716" s="302"/>
      <c r="H716" s="302"/>
    </row>
    <row r="717" spans="4:8" ht="12.75" customHeight="1" x14ac:dyDescent="0.3">
      <c r="D717" s="305"/>
      <c r="E717" s="302"/>
      <c r="F717" s="302"/>
      <c r="G717" s="302"/>
      <c r="H717" s="302"/>
    </row>
    <row r="718" spans="4:8" ht="12.75" customHeight="1" x14ac:dyDescent="0.3">
      <c r="D718" s="305"/>
      <c r="E718" s="302"/>
      <c r="F718" s="302"/>
      <c r="G718" s="302"/>
      <c r="H718" s="302"/>
    </row>
    <row r="719" spans="4:8" ht="12.75" customHeight="1" x14ac:dyDescent="0.3">
      <c r="D719" s="305"/>
      <c r="E719" s="302"/>
      <c r="F719" s="302"/>
      <c r="G719" s="302"/>
      <c r="H719" s="302"/>
    </row>
    <row r="720" spans="4:8" ht="12.75" customHeight="1" x14ac:dyDescent="0.3">
      <c r="D720" s="305"/>
      <c r="E720" s="302"/>
      <c r="F720" s="302"/>
      <c r="G720" s="302"/>
      <c r="H720" s="302"/>
    </row>
    <row r="721" spans="4:8" ht="12.75" customHeight="1" x14ac:dyDescent="0.3">
      <c r="D721" s="305"/>
      <c r="E721" s="302"/>
      <c r="F721" s="302"/>
      <c r="G721" s="302"/>
      <c r="H721" s="302"/>
    </row>
    <row r="722" spans="4:8" ht="12.75" customHeight="1" x14ac:dyDescent="0.3">
      <c r="D722" s="305"/>
      <c r="E722" s="302"/>
      <c r="F722" s="302"/>
      <c r="G722" s="302"/>
      <c r="H722" s="302"/>
    </row>
    <row r="723" spans="4:8" ht="12.75" customHeight="1" x14ac:dyDescent="0.3">
      <c r="D723" s="305"/>
      <c r="E723" s="302"/>
      <c r="F723" s="302"/>
      <c r="G723" s="302"/>
      <c r="H723" s="302"/>
    </row>
    <row r="724" spans="4:8" ht="12.75" customHeight="1" x14ac:dyDescent="0.3">
      <c r="D724" s="305"/>
      <c r="E724" s="302"/>
      <c r="F724" s="302"/>
      <c r="G724" s="302"/>
      <c r="H724" s="302"/>
    </row>
    <row r="725" spans="4:8" ht="12.75" customHeight="1" x14ac:dyDescent="0.3">
      <c r="D725" s="305"/>
      <c r="E725" s="302"/>
      <c r="F725" s="302"/>
      <c r="G725" s="302"/>
      <c r="H725" s="302"/>
    </row>
    <row r="726" spans="4:8" ht="12.75" customHeight="1" x14ac:dyDescent="0.3">
      <c r="D726" s="305"/>
      <c r="E726" s="302"/>
      <c r="F726" s="302"/>
      <c r="G726" s="302"/>
      <c r="H726" s="302"/>
    </row>
    <row r="727" spans="4:8" ht="12.75" customHeight="1" x14ac:dyDescent="0.3">
      <c r="D727" s="305"/>
      <c r="E727" s="302"/>
      <c r="F727" s="302"/>
      <c r="G727" s="302"/>
      <c r="H727" s="302"/>
    </row>
    <row r="728" spans="4:8" ht="12.75" customHeight="1" x14ac:dyDescent="0.3">
      <c r="D728" s="305"/>
      <c r="E728" s="302"/>
      <c r="F728" s="302"/>
      <c r="G728" s="302"/>
      <c r="H728" s="302"/>
    </row>
    <row r="729" spans="4:8" ht="12.75" customHeight="1" x14ac:dyDescent="0.3">
      <c r="D729" s="305"/>
      <c r="E729" s="302"/>
      <c r="F729" s="302"/>
      <c r="G729" s="302"/>
      <c r="H729" s="302"/>
    </row>
    <row r="730" spans="4:8" ht="12.75" customHeight="1" x14ac:dyDescent="0.3">
      <c r="D730" s="305"/>
      <c r="E730" s="302"/>
      <c r="F730" s="302"/>
      <c r="G730" s="302"/>
      <c r="H730" s="302"/>
    </row>
    <row r="731" spans="4:8" ht="12.75" customHeight="1" x14ac:dyDescent="0.3">
      <c r="D731" s="305"/>
      <c r="E731" s="302"/>
      <c r="F731" s="302"/>
      <c r="G731" s="302"/>
      <c r="H731" s="302"/>
    </row>
    <row r="732" spans="4:8" ht="12.75" customHeight="1" x14ac:dyDescent="0.3">
      <c r="D732" s="305"/>
      <c r="E732" s="302"/>
      <c r="F732" s="302"/>
      <c r="G732" s="302"/>
      <c r="H732" s="302"/>
    </row>
    <row r="733" spans="4:8" ht="12.75" customHeight="1" x14ac:dyDescent="0.3">
      <c r="D733" s="305"/>
      <c r="E733" s="302"/>
      <c r="F733" s="302"/>
      <c r="G733" s="302"/>
      <c r="H733" s="302"/>
    </row>
    <row r="734" spans="4:8" ht="12.75" customHeight="1" x14ac:dyDescent="0.3">
      <c r="D734" s="305"/>
      <c r="E734" s="302"/>
      <c r="F734" s="302"/>
      <c r="G734" s="302"/>
      <c r="H734" s="302"/>
    </row>
    <row r="735" spans="4:8" ht="12.75" customHeight="1" x14ac:dyDescent="0.3">
      <c r="D735" s="305"/>
      <c r="E735" s="302"/>
      <c r="F735" s="302"/>
      <c r="G735" s="302"/>
      <c r="H735" s="302"/>
    </row>
    <row r="736" spans="4:8" ht="12.75" customHeight="1" x14ac:dyDescent="0.3">
      <c r="D736" s="305"/>
      <c r="E736" s="302"/>
      <c r="F736" s="302"/>
      <c r="G736" s="302"/>
      <c r="H736" s="302"/>
    </row>
    <row r="737" spans="4:8" ht="12.75" customHeight="1" x14ac:dyDescent="0.3">
      <c r="D737" s="305"/>
      <c r="E737" s="302"/>
      <c r="F737" s="302"/>
      <c r="G737" s="302"/>
      <c r="H737" s="302"/>
    </row>
    <row r="738" spans="4:8" ht="12.75" customHeight="1" x14ac:dyDescent="0.3">
      <c r="D738" s="305"/>
      <c r="E738" s="302"/>
      <c r="F738" s="302"/>
      <c r="G738" s="302"/>
      <c r="H738" s="302"/>
    </row>
    <row r="739" spans="4:8" ht="12.75" customHeight="1" x14ac:dyDescent="0.3">
      <c r="D739" s="305"/>
      <c r="E739" s="302"/>
      <c r="F739" s="302"/>
      <c r="G739" s="302"/>
      <c r="H739" s="302"/>
    </row>
    <row r="740" spans="4:8" ht="12.75" customHeight="1" x14ac:dyDescent="0.3">
      <c r="D740" s="305"/>
      <c r="E740" s="302"/>
      <c r="F740" s="302"/>
      <c r="G740" s="302"/>
      <c r="H740" s="302"/>
    </row>
    <row r="741" spans="4:8" ht="12.75" customHeight="1" x14ac:dyDescent="0.3">
      <c r="D741" s="305"/>
      <c r="E741" s="302"/>
      <c r="F741" s="302"/>
      <c r="G741" s="302"/>
      <c r="H741" s="302"/>
    </row>
    <row r="742" spans="4:8" ht="12.75" customHeight="1" x14ac:dyDescent="0.3">
      <c r="D742" s="305"/>
      <c r="E742" s="302"/>
      <c r="F742" s="302"/>
      <c r="G742" s="302"/>
      <c r="H742" s="302"/>
    </row>
    <row r="743" spans="4:8" ht="13.5" customHeight="1" x14ac:dyDescent="0.3">
      <c r="D743" s="305"/>
      <c r="E743" s="302"/>
      <c r="F743" s="302"/>
      <c r="G743" s="302"/>
      <c r="H743" s="302"/>
    </row>
    <row r="744" spans="4:8" ht="12.75" customHeight="1" x14ac:dyDescent="0.3">
      <c r="D744" s="305"/>
      <c r="E744" s="302"/>
      <c r="F744" s="302"/>
      <c r="G744" s="302"/>
      <c r="H744" s="302"/>
    </row>
    <row r="745" spans="4:8" ht="12.75" customHeight="1" x14ac:dyDescent="0.3">
      <c r="D745" s="305"/>
      <c r="E745" s="302"/>
      <c r="F745" s="302"/>
      <c r="G745" s="302"/>
      <c r="H745" s="302"/>
    </row>
    <row r="746" spans="4:8" ht="12.75" customHeight="1" x14ac:dyDescent="0.3">
      <c r="D746" s="305"/>
      <c r="E746" s="302"/>
      <c r="F746" s="302"/>
      <c r="G746" s="302"/>
      <c r="H746" s="302"/>
    </row>
    <row r="747" spans="4:8" ht="12.75" customHeight="1" x14ac:dyDescent="0.3">
      <c r="D747" s="305"/>
      <c r="E747" s="302"/>
      <c r="F747" s="302"/>
      <c r="G747" s="302"/>
      <c r="H747" s="302"/>
    </row>
    <row r="748" spans="4:8" ht="12.75" customHeight="1" x14ac:dyDescent="0.3">
      <c r="D748" s="305"/>
      <c r="E748" s="302"/>
      <c r="F748" s="302"/>
      <c r="G748" s="302"/>
      <c r="H748" s="302"/>
    </row>
    <row r="749" spans="4:8" ht="12.75" customHeight="1" x14ac:dyDescent="0.3">
      <c r="D749" s="305"/>
      <c r="E749" s="302"/>
      <c r="F749" s="302"/>
      <c r="G749" s="302"/>
      <c r="H749" s="302"/>
    </row>
    <row r="750" spans="4:8" ht="12.75" customHeight="1" x14ac:dyDescent="0.3">
      <c r="D750" s="305"/>
      <c r="E750" s="302"/>
      <c r="F750" s="302"/>
      <c r="G750" s="302"/>
      <c r="H750" s="302"/>
    </row>
    <row r="751" spans="4:8" ht="12.75" customHeight="1" x14ac:dyDescent="0.3">
      <c r="D751" s="305"/>
      <c r="E751" s="302"/>
      <c r="F751" s="302"/>
      <c r="G751" s="302"/>
      <c r="H751" s="302"/>
    </row>
    <row r="752" spans="4:8" ht="12.75" customHeight="1" x14ac:dyDescent="0.3">
      <c r="D752" s="305"/>
      <c r="E752" s="302"/>
      <c r="F752" s="302"/>
      <c r="G752" s="302"/>
      <c r="H752" s="302"/>
    </row>
    <row r="753" spans="4:8" ht="12.75" customHeight="1" x14ac:dyDescent="0.3">
      <c r="D753" s="305"/>
      <c r="E753" s="302"/>
      <c r="F753" s="302"/>
      <c r="G753" s="302"/>
      <c r="H753" s="302"/>
    </row>
    <row r="754" spans="4:8" ht="12.75" customHeight="1" x14ac:dyDescent="0.3">
      <c r="D754" s="305"/>
      <c r="E754" s="302"/>
      <c r="F754" s="302"/>
      <c r="G754" s="302"/>
      <c r="H754" s="302"/>
    </row>
    <row r="755" spans="4:8" ht="12.75" customHeight="1" x14ac:dyDescent="0.3">
      <c r="D755" s="305"/>
      <c r="E755" s="302"/>
      <c r="F755" s="302"/>
      <c r="G755" s="302"/>
      <c r="H755" s="302"/>
    </row>
    <row r="756" spans="4:8" ht="12.75" customHeight="1" x14ac:dyDescent="0.3">
      <c r="D756" s="305"/>
      <c r="E756" s="302"/>
      <c r="F756" s="302"/>
      <c r="G756" s="302"/>
      <c r="H756" s="302"/>
    </row>
    <row r="757" spans="4:8" ht="12.75" customHeight="1" x14ac:dyDescent="0.3">
      <c r="D757" s="305"/>
      <c r="E757" s="302"/>
      <c r="F757" s="302"/>
      <c r="G757" s="302"/>
      <c r="H757" s="302"/>
    </row>
    <row r="758" spans="4:8" ht="12.75" customHeight="1" x14ac:dyDescent="0.3">
      <c r="D758" s="305"/>
      <c r="E758" s="302"/>
      <c r="F758" s="302"/>
      <c r="G758" s="302"/>
      <c r="H758" s="302"/>
    </row>
    <row r="759" spans="4:8" ht="12.75" customHeight="1" x14ac:dyDescent="0.3">
      <c r="D759" s="305"/>
      <c r="E759" s="302"/>
      <c r="F759" s="302"/>
      <c r="G759" s="302"/>
      <c r="H759" s="302"/>
    </row>
    <row r="760" spans="4:8" ht="12.75" customHeight="1" x14ac:dyDescent="0.3">
      <c r="D760" s="305"/>
      <c r="E760" s="302"/>
      <c r="F760" s="302"/>
      <c r="G760" s="302"/>
      <c r="H760" s="302"/>
    </row>
    <row r="761" spans="4:8" ht="12.75" customHeight="1" x14ac:dyDescent="0.3">
      <c r="D761" s="305"/>
      <c r="E761" s="302"/>
      <c r="F761" s="302"/>
      <c r="G761" s="302"/>
      <c r="H761" s="302"/>
    </row>
    <row r="762" spans="4:8" ht="12.75" customHeight="1" x14ac:dyDescent="0.3">
      <c r="D762" s="305"/>
      <c r="E762" s="302"/>
      <c r="F762" s="302"/>
      <c r="G762" s="302"/>
      <c r="H762" s="302"/>
    </row>
    <row r="763" spans="4:8" ht="12.75" customHeight="1" x14ac:dyDescent="0.3">
      <c r="D763" s="305"/>
      <c r="E763" s="302"/>
      <c r="F763" s="302"/>
      <c r="G763" s="302"/>
      <c r="H763" s="302"/>
    </row>
    <row r="764" spans="4:8" ht="12.75" customHeight="1" x14ac:dyDescent="0.3">
      <c r="D764" s="305"/>
      <c r="E764" s="302"/>
      <c r="F764" s="302"/>
      <c r="G764" s="302"/>
      <c r="H764" s="302"/>
    </row>
    <row r="765" spans="4:8" ht="12.75" customHeight="1" x14ac:dyDescent="0.3">
      <c r="D765" s="305"/>
      <c r="E765" s="302"/>
      <c r="F765" s="302"/>
      <c r="G765" s="302"/>
      <c r="H765" s="302"/>
    </row>
    <row r="766" spans="4:8" ht="12.75" customHeight="1" x14ac:dyDescent="0.3">
      <c r="D766" s="305"/>
      <c r="E766" s="302"/>
      <c r="F766" s="302"/>
      <c r="G766" s="302"/>
      <c r="H766" s="302"/>
    </row>
    <row r="767" spans="4:8" ht="12.75" customHeight="1" x14ac:dyDescent="0.3">
      <c r="D767" s="305"/>
      <c r="E767" s="302"/>
      <c r="F767" s="302"/>
      <c r="G767" s="302"/>
      <c r="H767" s="302"/>
    </row>
    <row r="768" spans="4:8" ht="12.75" customHeight="1" x14ac:dyDescent="0.3">
      <c r="D768" s="305"/>
      <c r="E768" s="302"/>
      <c r="F768" s="302"/>
      <c r="G768" s="302"/>
      <c r="H768" s="302"/>
    </row>
    <row r="769" spans="4:30" ht="12.75" customHeight="1" x14ac:dyDescent="0.3">
      <c r="D769" s="305"/>
      <c r="E769" s="302"/>
      <c r="F769" s="302"/>
      <c r="G769" s="302"/>
      <c r="H769" s="302"/>
    </row>
    <row r="770" spans="4:30" ht="12.75" customHeight="1" x14ac:dyDescent="0.3">
      <c r="D770" s="305"/>
      <c r="E770" s="302"/>
      <c r="F770" s="302"/>
      <c r="G770" s="302"/>
      <c r="H770" s="302"/>
      <c r="AD770" s="91">
        <v>1</v>
      </c>
    </row>
    <row r="771" spans="4:30" ht="12.75" customHeight="1" x14ac:dyDescent="0.3">
      <c r="D771" s="305"/>
      <c r="E771" s="302"/>
      <c r="F771" s="302"/>
      <c r="G771" s="302"/>
      <c r="H771" s="302"/>
    </row>
    <row r="772" spans="4:30" ht="12.75" customHeight="1" x14ac:dyDescent="0.3">
      <c r="D772" s="305"/>
      <c r="E772" s="302"/>
      <c r="F772" s="302"/>
      <c r="G772" s="302"/>
      <c r="H772" s="302"/>
    </row>
    <row r="773" spans="4:30" ht="12.75" customHeight="1" x14ac:dyDescent="0.3">
      <c r="D773" s="305"/>
      <c r="E773" s="302"/>
      <c r="F773" s="302"/>
      <c r="G773" s="302"/>
      <c r="H773" s="302"/>
    </row>
    <row r="774" spans="4:30" ht="12.75" customHeight="1" x14ac:dyDescent="0.3">
      <c r="D774" s="305"/>
      <c r="E774" s="302"/>
      <c r="F774" s="302"/>
      <c r="G774" s="302"/>
      <c r="H774" s="302"/>
    </row>
    <row r="775" spans="4:30" ht="12.75" customHeight="1" x14ac:dyDescent="0.3">
      <c r="D775" s="305"/>
      <c r="E775" s="302"/>
      <c r="F775" s="302"/>
      <c r="G775" s="302"/>
      <c r="H775" s="302"/>
    </row>
    <row r="776" spans="4:30" ht="12.75" customHeight="1" x14ac:dyDescent="0.3">
      <c r="D776" s="305"/>
      <c r="E776" s="302"/>
      <c r="F776" s="302"/>
      <c r="G776" s="302"/>
      <c r="H776" s="302"/>
    </row>
    <row r="777" spans="4:30" ht="12.75" customHeight="1" x14ac:dyDescent="0.3">
      <c r="D777" s="305"/>
      <c r="E777" s="302"/>
      <c r="F777" s="302"/>
      <c r="G777" s="302"/>
      <c r="H777" s="302"/>
    </row>
    <row r="778" spans="4:30" ht="12.75" customHeight="1" x14ac:dyDescent="0.3">
      <c r="D778" s="305"/>
      <c r="E778" s="302"/>
      <c r="F778" s="302"/>
      <c r="G778" s="302"/>
      <c r="H778" s="302"/>
    </row>
    <row r="779" spans="4:30" ht="12.75" customHeight="1" x14ac:dyDescent="0.3">
      <c r="D779" s="305"/>
      <c r="E779" s="302"/>
      <c r="F779" s="302"/>
      <c r="G779" s="302"/>
      <c r="H779" s="302"/>
    </row>
    <row r="780" spans="4:30" ht="12.75" customHeight="1" x14ac:dyDescent="0.3">
      <c r="D780" s="305"/>
      <c r="E780" s="302"/>
      <c r="F780" s="302"/>
      <c r="G780" s="302"/>
      <c r="H780" s="302"/>
    </row>
    <row r="781" spans="4:30" ht="12.75" customHeight="1" x14ac:dyDescent="0.3">
      <c r="D781" s="305"/>
      <c r="F781" s="302"/>
      <c r="G781" s="302"/>
      <c r="H781" s="302"/>
    </row>
    <row r="782" spans="4:30" ht="12.75" customHeight="1" x14ac:dyDescent="0.3">
      <c r="D782" s="305"/>
      <c r="F782" s="302"/>
      <c r="G782" s="302"/>
      <c r="H782" s="302"/>
    </row>
    <row r="783" spans="4:30" ht="12.75" customHeight="1" x14ac:dyDescent="0.3"/>
    <row r="784" spans="4:30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</sheetData>
  <mergeCells count="278"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F20:I20"/>
    <mergeCell ref="K20:L20"/>
    <mergeCell ref="N20:O20"/>
    <mergeCell ref="P20:Q20"/>
    <mergeCell ref="T20:U20"/>
    <mergeCell ref="Y20:Z20"/>
    <mergeCell ref="T18:U18"/>
    <mergeCell ref="Y18:Z18"/>
    <mergeCell ref="F19:I19"/>
    <mergeCell ref="K19:L19"/>
    <mergeCell ref="N19:O19"/>
    <mergeCell ref="P19:Q19"/>
    <mergeCell ref="T19:U19"/>
    <mergeCell ref="Y19:Z19"/>
    <mergeCell ref="K21:L21"/>
    <mergeCell ref="N21:O21"/>
    <mergeCell ref="P21:Q21"/>
    <mergeCell ref="T21:U21"/>
    <mergeCell ref="F22:I22"/>
    <mergeCell ref="K22:L22"/>
    <mergeCell ref="N22:O22"/>
    <mergeCell ref="P22:Q22"/>
    <mergeCell ref="T22:U22"/>
    <mergeCell ref="B25:C25"/>
    <mergeCell ref="H25:I25"/>
    <mergeCell ref="K25:L25"/>
    <mergeCell ref="N25:O25"/>
    <mergeCell ref="P25:Q25"/>
    <mergeCell ref="T25:U25"/>
    <mergeCell ref="K23:L23"/>
    <mergeCell ref="N23:O23"/>
    <mergeCell ref="P23:Q23"/>
    <mergeCell ref="T23:U23"/>
    <mergeCell ref="F24:I24"/>
    <mergeCell ref="K24:L24"/>
    <mergeCell ref="N24:O24"/>
    <mergeCell ref="P24:Q24"/>
    <mergeCell ref="T24:U24"/>
    <mergeCell ref="B29:C29"/>
    <mergeCell ref="F29:I29"/>
    <mergeCell ref="K29:L29"/>
    <mergeCell ref="N29:O29"/>
    <mergeCell ref="P29:Q29"/>
    <mergeCell ref="T29:U29"/>
    <mergeCell ref="K26:L26"/>
    <mergeCell ref="N26:O26"/>
    <mergeCell ref="P26:Q26"/>
    <mergeCell ref="T26:U26"/>
    <mergeCell ref="F27:I27"/>
    <mergeCell ref="K27:L27"/>
    <mergeCell ref="N27:O27"/>
    <mergeCell ref="P27:Q27"/>
    <mergeCell ref="T27:U27"/>
    <mergeCell ref="F31:I31"/>
    <mergeCell ref="K31:L31"/>
    <mergeCell ref="N31:O31"/>
    <mergeCell ref="P31:Q31"/>
    <mergeCell ref="T31:U31"/>
    <mergeCell ref="K28:L28"/>
    <mergeCell ref="N28:O28"/>
    <mergeCell ref="P28:Q28"/>
    <mergeCell ref="T28:U28"/>
    <mergeCell ref="K32:L32"/>
    <mergeCell ref="N32:O32"/>
    <mergeCell ref="P32:Q32"/>
    <mergeCell ref="T32:U32"/>
    <mergeCell ref="K33:L33"/>
    <mergeCell ref="N33:O33"/>
    <mergeCell ref="P33:Q33"/>
    <mergeCell ref="T33:U33"/>
    <mergeCell ref="K30:L30"/>
    <mergeCell ref="N30:O30"/>
    <mergeCell ref="P30:Q30"/>
    <mergeCell ref="T30:U30"/>
    <mergeCell ref="K34:L34"/>
    <mergeCell ref="N34:O34"/>
    <mergeCell ref="P34:Q34"/>
    <mergeCell ref="T34:U34"/>
    <mergeCell ref="F35:I35"/>
    <mergeCell ref="K35:L35"/>
    <mergeCell ref="N35:O35"/>
    <mergeCell ref="P35:Q35"/>
    <mergeCell ref="T35:U35"/>
    <mergeCell ref="F36:I36"/>
    <mergeCell ref="K36:L36"/>
    <mergeCell ref="N36:O36"/>
    <mergeCell ref="P36:Q36"/>
    <mergeCell ref="T36:U36"/>
    <mergeCell ref="F37:I37"/>
    <mergeCell ref="K37:L37"/>
    <mergeCell ref="N37:O37"/>
    <mergeCell ref="P37:Q37"/>
    <mergeCell ref="T37:U37"/>
    <mergeCell ref="K40:L40"/>
    <mergeCell ref="N40:O40"/>
    <mergeCell ref="P40:Q40"/>
    <mergeCell ref="T40:U40"/>
    <mergeCell ref="K41:L41"/>
    <mergeCell ref="N41:O41"/>
    <mergeCell ref="P41:Q41"/>
    <mergeCell ref="T41:U41"/>
    <mergeCell ref="F38:I38"/>
    <mergeCell ref="K38:L38"/>
    <mergeCell ref="N38:O38"/>
    <mergeCell ref="P38:Q38"/>
    <mergeCell ref="T38:U38"/>
    <mergeCell ref="F39:G39"/>
    <mergeCell ref="K39:L39"/>
    <mergeCell ref="N39:O39"/>
    <mergeCell ref="P39:Q39"/>
    <mergeCell ref="T39:U39"/>
    <mergeCell ref="K44:L44"/>
    <mergeCell ref="N44:O44"/>
    <mergeCell ref="P44:Q44"/>
    <mergeCell ref="T44:U44"/>
    <mergeCell ref="K45:L45"/>
    <mergeCell ref="N45:O45"/>
    <mergeCell ref="P45:Q45"/>
    <mergeCell ref="T45:U45"/>
    <mergeCell ref="K42:L42"/>
    <mergeCell ref="N42:O42"/>
    <mergeCell ref="P42:Q42"/>
    <mergeCell ref="T42:U42"/>
    <mergeCell ref="K43:L43"/>
    <mergeCell ref="N43:O43"/>
    <mergeCell ref="P43:Q43"/>
    <mergeCell ref="T43:U43"/>
    <mergeCell ref="T46:U46"/>
    <mergeCell ref="B47:C48"/>
    <mergeCell ref="D47:F48"/>
    <mergeCell ref="G47:I48"/>
    <mergeCell ref="K47:L47"/>
    <mergeCell ref="N47:O47"/>
    <mergeCell ref="P47:Q47"/>
    <mergeCell ref="T47:U47"/>
    <mergeCell ref="K48:L48"/>
    <mergeCell ref="N48:O48"/>
    <mergeCell ref="B46:C46"/>
    <mergeCell ref="D46:F46"/>
    <mergeCell ref="G46:I46"/>
    <mergeCell ref="K46:L46"/>
    <mergeCell ref="N46:O46"/>
    <mergeCell ref="P46:Q46"/>
    <mergeCell ref="P48:Q48"/>
    <mergeCell ref="T48:U48"/>
    <mergeCell ref="B49:C50"/>
    <mergeCell ref="D49:F50"/>
    <mergeCell ref="G49:I50"/>
    <mergeCell ref="K49:L49"/>
    <mergeCell ref="N49:O49"/>
    <mergeCell ref="P49:Q49"/>
    <mergeCell ref="T49:U49"/>
    <mergeCell ref="K50:L50"/>
    <mergeCell ref="N50:O50"/>
    <mergeCell ref="P50:Q50"/>
    <mergeCell ref="T50:U50"/>
    <mergeCell ref="B51:C52"/>
    <mergeCell ref="D51:F52"/>
    <mergeCell ref="G51:I52"/>
    <mergeCell ref="K51:L51"/>
    <mergeCell ref="N51:O51"/>
    <mergeCell ref="P51:Q51"/>
    <mergeCell ref="T51:U51"/>
    <mergeCell ref="K52:L52"/>
    <mergeCell ref="N52:O52"/>
    <mergeCell ref="P52:Q52"/>
    <mergeCell ref="T52:U52"/>
    <mergeCell ref="B53:C54"/>
    <mergeCell ref="D53:F54"/>
    <mergeCell ref="G53:I54"/>
    <mergeCell ref="K53:L53"/>
    <mergeCell ref="N53:O53"/>
    <mergeCell ref="P53:Q53"/>
    <mergeCell ref="T53:U53"/>
    <mergeCell ref="K54:L54"/>
    <mergeCell ref="N54:O54"/>
    <mergeCell ref="P54:Q54"/>
    <mergeCell ref="T54:U54"/>
    <mergeCell ref="B55:C56"/>
    <mergeCell ref="D55:F56"/>
    <mergeCell ref="G55:I56"/>
    <mergeCell ref="K55:L55"/>
    <mergeCell ref="N55:O55"/>
    <mergeCell ref="B57:C58"/>
    <mergeCell ref="D57:F58"/>
    <mergeCell ref="G57:I58"/>
    <mergeCell ref="K57:L57"/>
    <mergeCell ref="N57:O57"/>
    <mergeCell ref="P57:Q57"/>
    <mergeCell ref="P55:Q55"/>
    <mergeCell ref="T55:U55"/>
    <mergeCell ref="K56:L56"/>
    <mergeCell ref="N56:O56"/>
    <mergeCell ref="P56:Q56"/>
    <mergeCell ref="T56:U56"/>
    <mergeCell ref="T57:U57"/>
    <mergeCell ref="K58:L58"/>
    <mergeCell ref="N58:O58"/>
    <mergeCell ref="P58:Q58"/>
    <mergeCell ref="T58:U58"/>
    <mergeCell ref="K59:L59"/>
    <mergeCell ref="N59:O59"/>
    <mergeCell ref="P59:Q59"/>
    <mergeCell ref="T59:U59"/>
    <mergeCell ref="D60:F60"/>
    <mergeCell ref="K60:L60"/>
    <mergeCell ref="N60:O60"/>
    <mergeCell ref="P60:Q60"/>
    <mergeCell ref="T60:U60"/>
    <mergeCell ref="K61:L61"/>
    <mergeCell ref="N61:O61"/>
    <mergeCell ref="P61:Q61"/>
    <mergeCell ref="T61:U61"/>
    <mergeCell ref="B70:D70"/>
    <mergeCell ref="K70:M70"/>
    <mergeCell ref="O70:Q70"/>
    <mergeCell ref="K62:L62"/>
    <mergeCell ref="N62:O62"/>
    <mergeCell ref="T62:U62"/>
    <mergeCell ref="K63:L63"/>
    <mergeCell ref="N63:O63"/>
    <mergeCell ref="T63:U63"/>
    <mergeCell ref="L71:M71"/>
    <mergeCell ref="O71:Q71"/>
    <mergeCell ref="K257:M257"/>
    <mergeCell ref="P257:Q257"/>
    <mergeCell ref="L258:M258"/>
    <mergeCell ref="K64:L64"/>
    <mergeCell ref="N64:O64"/>
    <mergeCell ref="P64:Q64"/>
    <mergeCell ref="K65:L65"/>
    <mergeCell ref="N65:O65"/>
  </mergeCells>
  <pageMargins left="0.7" right="0.7" top="0.75" bottom="0.75" header="0.3" footer="0.3"/>
  <pageSetup scale="73" orientation="portrait" horizontalDpi="0" verticalDpi="0" r:id="rId1"/>
  <colBreaks count="1" manualBreakCount="1">
    <brk id="9" max="7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9CA1B-A55C-4B3F-9365-8E20B0119009}">
  <dimension ref="A1:BA858"/>
  <sheetViews>
    <sheetView tabSelected="1" view="pageBreakPreview" topLeftCell="A26" zoomScale="60" zoomScaleNormal="90" workbookViewId="0">
      <selection activeCell="Q75" sqref="A1:Q75"/>
    </sheetView>
  </sheetViews>
  <sheetFormatPr defaultColWidth="8.85546875" defaultRowHeight="16.5" x14ac:dyDescent="0.3"/>
  <cols>
    <col min="1" max="1" width="1" style="91" customWidth="1"/>
    <col min="2" max="2" width="12.5703125" style="91" customWidth="1"/>
    <col min="3" max="3" width="18.7109375" style="91" customWidth="1"/>
    <col min="4" max="4" width="17.85546875" style="91" customWidth="1"/>
    <col min="5" max="5" width="23.42578125" style="91" customWidth="1"/>
    <col min="6" max="6" width="15.140625" style="91" customWidth="1"/>
    <col min="7" max="7" width="8.140625" style="91" customWidth="1"/>
    <col min="8" max="8" width="4.42578125" style="91" customWidth="1"/>
    <col min="9" max="9" width="17.7109375" style="91" customWidth="1"/>
    <col min="10" max="10" width="2.28515625" style="91" customWidth="1"/>
    <col min="11" max="11" width="9.140625" style="91" customWidth="1"/>
    <col min="12" max="12" width="20.28515625" style="93" customWidth="1"/>
    <col min="13" max="13" width="18.28515625" style="91" customWidth="1"/>
    <col min="14" max="14" width="21.7109375" style="91" customWidth="1"/>
    <col min="15" max="15" width="12.28515625" style="91" customWidth="1"/>
    <col min="16" max="16" width="16.85546875" style="91" customWidth="1"/>
    <col min="17" max="17" width="21.42578125" style="91" customWidth="1"/>
    <col min="18" max="18" width="4.7109375" style="91" customWidth="1"/>
    <col min="19" max="19" width="8.85546875" style="91"/>
    <col min="20" max="20" width="19" style="91" hidden="1" customWidth="1"/>
    <col min="21" max="22" width="8.85546875" style="91" hidden="1" customWidth="1"/>
    <col min="23" max="24" width="11.42578125" style="91" hidden="1" customWidth="1"/>
    <col min="25" max="26" width="0" style="91" hidden="1" customWidth="1"/>
    <col min="27" max="27" width="11.28515625" style="91" hidden="1" customWidth="1"/>
    <col min="28" max="28" width="8.85546875" style="91"/>
    <col min="29" max="29" width="13.140625" style="91" customWidth="1"/>
    <col min="30" max="30" width="14.5703125" style="91" customWidth="1"/>
    <col min="31" max="31" width="8.85546875" style="91"/>
    <col min="32" max="32" width="9.140625" style="91" bestFit="1" customWidth="1"/>
    <col min="33" max="33" width="17.140625" style="91" customWidth="1"/>
    <col min="34" max="34" width="17.85546875" style="91" customWidth="1"/>
    <col min="35" max="35" width="9.7109375" style="91" customWidth="1"/>
    <col min="36" max="36" width="10.7109375" style="234" customWidth="1"/>
    <col min="37" max="37" width="13.42578125" style="91" customWidth="1"/>
    <col min="38" max="38" width="12.7109375" style="91" customWidth="1"/>
    <col min="39" max="39" width="13.140625" style="91" customWidth="1"/>
    <col min="40" max="41" width="13.28515625" style="91" customWidth="1"/>
    <col min="42" max="42" width="11.28515625" style="91" customWidth="1"/>
    <col min="43" max="43" width="14.85546875" style="91" customWidth="1"/>
    <col min="44" max="44" width="5.85546875" style="91" customWidth="1"/>
    <col min="45" max="45" width="11.7109375" style="91" customWidth="1"/>
    <col min="46" max="46" width="12.7109375" style="91" customWidth="1"/>
    <col min="47" max="47" width="11.7109375" style="91" customWidth="1"/>
    <col min="48" max="48" width="12.7109375" style="91" customWidth="1"/>
    <col min="49" max="49" width="12.7109375" style="235" customWidth="1"/>
    <col min="50" max="50" width="14.5703125" style="236" customWidth="1"/>
    <col min="51" max="55" width="12.7109375" style="91" customWidth="1"/>
    <col min="56" max="16384" width="8.85546875" style="91"/>
  </cols>
  <sheetData>
    <row r="1" spans="1:17" ht="4.5" customHeight="1" x14ac:dyDescent="0.3">
      <c r="B1" s="227"/>
      <c r="C1" s="228">
        <f>(F15-(F16+F25))*12%</f>
        <v>1449986.976</v>
      </c>
      <c r="D1" s="229">
        <f>[3]FORM!A14</f>
        <v>107</v>
      </c>
      <c r="E1" s="230"/>
      <c r="F1" s="102"/>
      <c r="G1" s="231"/>
      <c r="H1" s="231"/>
      <c r="J1" s="232">
        <v>0.01</v>
      </c>
      <c r="K1" s="230"/>
      <c r="L1" s="233"/>
      <c r="M1" s="233"/>
      <c r="N1" s="171"/>
    </row>
    <row r="2" spans="1:17" x14ac:dyDescent="0.3">
      <c r="B2" s="237" t="s">
        <v>94</v>
      </c>
      <c r="C2" s="104">
        <f ca="1">NOW()</f>
        <v>45932.593793518521</v>
      </c>
      <c r="D2" s="169"/>
      <c r="F2" s="98" t="s">
        <v>95</v>
      </c>
      <c r="G2" s="357" t="s">
        <v>96</v>
      </c>
      <c r="H2" s="357"/>
      <c r="I2" s="357"/>
      <c r="J2" s="85"/>
      <c r="K2" s="238" t="s">
        <v>94</v>
      </c>
      <c r="L2" s="104">
        <f ca="1">C2</f>
        <v>45932.593793518521</v>
      </c>
      <c r="M2" s="76"/>
      <c r="O2" s="82"/>
      <c r="P2" s="237" t="s">
        <v>97</v>
      </c>
      <c r="Q2" s="239" t="s">
        <v>98</v>
      </c>
    </row>
    <row r="3" spans="1:17" x14ac:dyDescent="0.3">
      <c r="C3" s="102"/>
      <c r="D3" s="102"/>
      <c r="E3" s="85"/>
      <c r="F3" s="85"/>
      <c r="G3" s="85"/>
      <c r="H3" s="85"/>
      <c r="I3" s="85"/>
      <c r="J3" s="85"/>
      <c r="K3" s="240"/>
      <c r="L3" s="241"/>
      <c r="M3" s="242"/>
      <c r="N3" s="139"/>
      <c r="O3" s="139"/>
      <c r="P3" s="139"/>
      <c r="Q3" s="139"/>
    </row>
    <row r="4" spans="1:17" ht="18.75" customHeight="1" x14ac:dyDescent="0.3">
      <c r="A4" s="76"/>
      <c r="B4" s="358" t="s">
        <v>99</v>
      </c>
      <c r="C4" s="358"/>
      <c r="D4" s="358"/>
      <c r="E4" s="358"/>
      <c r="F4" s="358"/>
      <c r="G4" s="358"/>
      <c r="H4" s="358"/>
      <c r="I4" s="359"/>
      <c r="J4" s="85"/>
      <c r="K4" s="360" t="s">
        <v>100</v>
      </c>
      <c r="L4" s="360"/>
      <c r="M4" s="360"/>
      <c r="N4" s="360"/>
      <c r="O4" s="360"/>
      <c r="P4" s="360"/>
      <c r="Q4" s="360"/>
    </row>
    <row r="5" spans="1:17" ht="12" customHeight="1" x14ac:dyDescent="0.3">
      <c r="A5" s="76"/>
      <c r="B5" s="76"/>
      <c r="C5" s="79"/>
      <c r="D5" s="79"/>
      <c r="E5" s="76"/>
      <c r="F5" s="79"/>
      <c r="G5" s="79"/>
      <c r="H5" s="79"/>
      <c r="I5" s="243"/>
      <c r="J5" s="85"/>
      <c r="K5" s="85"/>
      <c r="L5" s="85"/>
      <c r="M5" s="244"/>
      <c r="N5" s="76"/>
      <c r="O5" s="76"/>
      <c r="P5" s="76"/>
      <c r="Q5" s="76"/>
    </row>
    <row r="6" spans="1:17" x14ac:dyDescent="0.3">
      <c r="A6" s="76"/>
      <c r="B6" s="119" t="s">
        <v>101</v>
      </c>
      <c r="C6" s="71"/>
      <c r="D6" s="88" t="s">
        <v>102</v>
      </c>
      <c r="E6" s="361"/>
      <c r="F6" s="362"/>
      <c r="G6" s="362"/>
      <c r="H6" s="362"/>
      <c r="I6" s="363"/>
      <c r="J6" s="85"/>
      <c r="K6" s="364" t="s">
        <v>101</v>
      </c>
      <c r="L6" s="364"/>
      <c r="M6" s="88" t="s">
        <v>102</v>
      </c>
      <c r="N6" s="365">
        <f t="shared" ref="N6:N12" si="0">E6</f>
        <v>0</v>
      </c>
      <c r="O6" s="365"/>
      <c r="P6" s="365"/>
      <c r="Q6" s="365"/>
    </row>
    <row r="7" spans="1:17" ht="17.25" thickBot="1" x14ac:dyDescent="0.35">
      <c r="A7" s="76"/>
      <c r="B7" s="126" t="s">
        <v>103</v>
      </c>
      <c r="C7" s="125"/>
      <c r="D7" s="88" t="s">
        <v>102</v>
      </c>
      <c r="E7" s="361" t="str">
        <f>Pricelink!E18</f>
        <v>Terraces Commonwealth Townhouse</v>
      </c>
      <c r="F7" s="362"/>
      <c r="G7" s="362"/>
      <c r="H7" s="362"/>
      <c r="I7" s="363"/>
      <c r="J7" s="85"/>
      <c r="K7" s="364" t="s">
        <v>103</v>
      </c>
      <c r="L7" s="364"/>
      <c r="M7" s="245" t="s">
        <v>102</v>
      </c>
      <c r="N7" s="365" t="str">
        <f t="shared" si="0"/>
        <v>Terraces Commonwealth Townhouse</v>
      </c>
      <c r="O7" s="365"/>
      <c r="P7" s="365"/>
      <c r="Q7" s="365"/>
    </row>
    <row r="8" spans="1:17" x14ac:dyDescent="0.3">
      <c r="A8" s="83"/>
      <c r="B8" s="119" t="s">
        <v>18</v>
      </c>
      <c r="C8" s="71"/>
      <c r="D8" s="88" t="s">
        <v>102</v>
      </c>
      <c r="E8" s="361" t="str">
        <f>Pricelink!C31</f>
        <v>Unit F</v>
      </c>
      <c r="F8" s="362"/>
      <c r="G8" s="362"/>
      <c r="H8" s="362"/>
      <c r="I8" s="363"/>
      <c r="J8" s="85"/>
      <c r="K8" s="364" t="s">
        <v>104</v>
      </c>
      <c r="L8" s="364"/>
      <c r="M8" s="88" t="s">
        <v>102</v>
      </c>
      <c r="N8" s="365" t="str">
        <f t="shared" si="0"/>
        <v>Unit F</v>
      </c>
      <c r="O8" s="365"/>
      <c r="P8" s="365"/>
      <c r="Q8" s="365"/>
    </row>
    <row r="9" spans="1:17" hidden="1" x14ac:dyDescent="0.3">
      <c r="A9" s="76"/>
      <c r="B9" s="126"/>
      <c r="C9" s="125"/>
      <c r="D9" s="88"/>
      <c r="E9" s="361"/>
      <c r="F9" s="362"/>
      <c r="G9" s="362"/>
      <c r="H9" s="362"/>
      <c r="I9" s="363"/>
      <c r="J9" s="85"/>
      <c r="K9" s="364"/>
      <c r="L9" s="364"/>
      <c r="M9" s="88"/>
      <c r="N9" s="365"/>
      <c r="O9" s="365"/>
      <c r="P9" s="365"/>
      <c r="Q9" s="365"/>
    </row>
    <row r="10" spans="1:17" ht="17.25" thickBot="1" x14ac:dyDescent="0.35">
      <c r="A10" s="76"/>
      <c r="B10" s="126" t="s">
        <v>105</v>
      </c>
      <c r="C10" s="125"/>
      <c r="D10" s="88" t="s">
        <v>102</v>
      </c>
      <c r="E10" s="361" t="str">
        <f>Pricelink!E31</f>
        <v>Rear</v>
      </c>
      <c r="F10" s="362"/>
      <c r="G10" s="362"/>
      <c r="H10" s="362"/>
      <c r="I10" s="363"/>
      <c r="J10" s="85"/>
      <c r="K10" s="364" t="s">
        <v>105</v>
      </c>
      <c r="L10" s="364"/>
      <c r="M10" s="245" t="s">
        <v>102</v>
      </c>
      <c r="N10" s="365" t="str">
        <f t="shared" si="0"/>
        <v>Rear</v>
      </c>
      <c r="O10" s="365"/>
      <c r="P10" s="365"/>
      <c r="Q10" s="365"/>
    </row>
    <row r="11" spans="1:17" x14ac:dyDescent="0.3">
      <c r="A11" s="76"/>
      <c r="B11" s="126" t="s">
        <v>106</v>
      </c>
      <c r="C11" s="125"/>
      <c r="D11" s="88" t="s">
        <v>102</v>
      </c>
      <c r="E11" s="366">
        <f>Pricelink!F31</f>
        <v>56</v>
      </c>
      <c r="F11" s="367"/>
      <c r="G11" s="189" t="s">
        <v>107</v>
      </c>
      <c r="H11" s="362"/>
      <c r="I11" s="363"/>
      <c r="J11" s="85"/>
      <c r="K11" s="364" t="s">
        <v>108</v>
      </c>
      <c r="L11" s="364"/>
      <c r="M11" s="88" t="s">
        <v>102</v>
      </c>
      <c r="N11" s="368">
        <f t="shared" si="0"/>
        <v>56</v>
      </c>
      <c r="O11" s="369"/>
      <c r="P11" s="370" t="s">
        <v>107</v>
      </c>
      <c r="Q11" s="371"/>
    </row>
    <row r="12" spans="1:17" x14ac:dyDescent="0.3">
      <c r="A12" s="83"/>
      <c r="B12" s="120" t="s">
        <v>92</v>
      </c>
      <c r="C12" s="71"/>
      <c r="D12" s="88" t="s">
        <v>102</v>
      </c>
      <c r="E12" s="366">
        <f>Pricelink!G31</f>
        <v>213.56</v>
      </c>
      <c r="F12" s="367"/>
      <c r="G12" s="189" t="s">
        <v>107</v>
      </c>
      <c r="H12" s="370"/>
      <c r="I12" s="371"/>
      <c r="J12" s="85"/>
      <c r="K12" s="364" t="s">
        <v>109</v>
      </c>
      <c r="L12" s="364"/>
      <c r="M12" s="88" t="s">
        <v>102</v>
      </c>
      <c r="N12" s="372">
        <f t="shared" si="0"/>
        <v>213.56</v>
      </c>
      <c r="O12" s="373"/>
      <c r="P12" s="370" t="s">
        <v>107</v>
      </c>
      <c r="Q12" s="371"/>
    </row>
    <row r="13" spans="1:17" x14ac:dyDescent="0.3">
      <c r="A13" s="246"/>
      <c r="B13" s="247"/>
      <c r="C13" s="248"/>
      <c r="D13" s="88"/>
      <c r="E13" s="382"/>
      <c r="F13" s="383"/>
      <c r="G13" s="189"/>
      <c r="H13" s="370"/>
      <c r="I13" s="371"/>
      <c r="J13" s="85"/>
      <c r="K13" s="384"/>
      <c r="L13" s="384"/>
      <c r="M13" s="88"/>
      <c r="N13" s="372"/>
      <c r="O13" s="373"/>
      <c r="P13" s="370"/>
      <c r="Q13" s="371"/>
    </row>
    <row r="14" spans="1:17" x14ac:dyDescent="0.3">
      <c r="A14" s="76"/>
      <c r="B14" s="76"/>
      <c r="C14" s="249"/>
      <c r="D14" s="88"/>
      <c r="E14" s="85"/>
      <c r="F14" s="250"/>
      <c r="G14" s="250"/>
      <c r="H14" s="251"/>
      <c r="I14" s="252"/>
      <c r="J14" s="85"/>
      <c r="K14" s="76"/>
      <c r="L14" s="76"/>
      <c r="M14" s="78"/>
      <c r="N14" s="76"/>
      <c r="O14" s="76"/>
      <c r="P14" s="76"/>
      <c r="Q14" s="76"/>
    </row>
    <row r="15" spans="1:17" ht="15" customHeight="1" x14ac:dyDescent="0.3">
      <c r="A15" s="76"/>
      <c r="B15" s="143" t="s">
        <v>110</v>
      </c>
      <c r="C15" s="143"/>
      <c r="D15" s="253" t="s">
        <v>102</v>
      </c>
      <c r="E15" s="254"/>
      <c r="F15" s="385">
        <f>SUM(Pricelink!H31)</f>
        <v>12083224.800000001</v>
      </c>
      <c r="G15" s="385"/>
      <c r="H15" s="385"/>
      <c r="I15" s="386"/>
      <c r="J15" s="85"/>
      <c r="K15" s="387" t="s">
        <v>111</v>
      </c>
      <c r="L15" s="387"/>
      <c r="M15" s="388" t="s">
        <v>112</v>
      </c>
      <c r="N15" s="387" t="s">
        <v>113</v>
      </c>
      <c r="O15" s="387"/>
      <c r="P15" s="389" t="s">
        <v>114</v>
      </c>
      <c r="Q15" s="390"/>
    </row>
    <row r="16" spans="1:17" x14ac:dyDescent="0.3">
      <c r="A16" s="76"/>
      <c r="B16" s="72" t="s">
        <v>115</v>
      </c>
      <c r="C16" s="125"/>
      <c r="D16" s="255" t="s">
        <v>102</v>
      </c>
      <c r="E16" s="256"/>
      <c r="F16" s="374">
        <f>F15*E16</f>
        <v>0</v>
      </c>
      <c r="G16" s="374"/>
      <c r="H16" s="374"/>
      <c r="I16" s="375"/>
      <c r="J16" s="79"/>
      <c r="K16" s="387"/>
      <c r="L16" s="387"/>
      <c r="M16" s="388"/>
      <c r="N16" s="387"/>
      <c r="O16" s="387"/>
      <c r="P16" s="391"/>
      <c r="Q16" s="392"/>
    </row>
    <row r="17" spans="1:50" x14ac:dyDescent="0.3">
      <c r="A17" s="76"/>
      <c r="B17" s="148" t="s">
        <v>70</v>
      </c>
      <c r="C17" s="73"/>
      <c r="D17" s="85" t="s">
        <v>102</v>
      </c>
      <c r="E17" s="254"/>
      <c r="F17" s="376">
        <f>F15-F16</f>
        <v>12083224.800000001</v>
      </c>
      <c r="G17" s="376"/>
      <c r="H17" s="376"/>
      <c r="I17" s="377"/>
      <c r="J17" s="79"/>
      <c r="K17" s="378" t="s">
        <v>33</v>
      </c>
      <c r="L17" s="378"/>
      <c r="M17" s="257">
        <f ca="1">C2</f>
        <v>45932.593793518521</v>
      </c>
      <c r="N17" s="379">
        <f>F26</f>
        <v>50000</v>
      </c>
      <c r="O17" s="379"/>
      <c r="P17" s="380"/>
      <c r="Q17" s="381"/>
      <c r="W17" s="258">
        <f ca="1">M17</f>
        <v>45932.593793518521</v>
      </c>
      <c r="X17" s="258">
        <f ca="1">EDATE(W17,E29)</f>
        <v>46114</v>
      </c>
    </row>
    <row r="18" spans="1:50" x14ac:dyDescent="0.3">
      <c r="A18" s="76"/>
      <c r="B18" s="150"/>
      <c r="C18" s="249"/>
      <c r="D18" s="88"/>
      <c r="E18" s="79"/>
      <c r="F18" s="259"/>
      <c r="G18" s="260"/>
      <c r="H18" s="261"/>
      <c r="I18" s="261"/>
      <c r="J18" s="79"/>
      <c r="K18" s="378" t="str">
        <f t="shared" ref="K18:K63" si="1">IF(N18&gt;1,T18,0)</f>
        <v>1st EQUITY PAYMENT</v>
      </c>
      <c r="L18" s="378"/>
      <c r="M18" s="257">
        <f t="shared" ref="M18:M63" ca="1" si="2">IF(N18&gt;1,W18,"")</f>
        <v>45966</v>
      </c>
      <c r="N18" s="379">
        <f>IF(E29&gt;0,F29,"")</f>
        <v>434718.24266666669</v>
      </c>
      <c r="O18" s="379"/>
      <c r="P18" s="380"/>
      <c r="Q18" s="381"/>
      <c r="T18" s="396" t="s">
        <v>116</v>
      </c>
      <c r="U18" s="396"/>
      <c r="W18" s="257">
        <f ca="1">IF(DAY(W17)=31,Y20,AA20)</f>
        <v>45966</v>
      </c>
      <c r="Y18" s="399" t="s">
        <v>117</v>
      </c>
      <c r="Z18" s="399"/>
    </row>
    <row r="19" spans="1:50" hidden="1" x14ac:dyDescent="0.3">
      <c r="A19" s="83"/>
      <c r="B19" s="72" t="s">
        <v>118</v>
      </c>
      <c r="C19" s="125"/>
      <c r="D19" s="255" t="s">
        <v>102</v>
      </c>
      <c r="E19" s="262">
        <v>0</v>
      </c>
      <c r="F19" s="374">
        <f>E19*F17</f>
        <v>0</v>
      </c>
      <c r="G19" s="374"/>
      <c r="H19" s="374"/>
      <c r="I19" s="375"/>
      <c r="J19" s="79"/>
      <c r="K19" s="378" t="str">
        <f t="shared" si="1"/>
        <v>2nd EQUITY PAYMENT</v>
      </c>
      <c r="L19" s="378"/>
      <c r="M19" s="257">
        <f t="shared" ca="1" si="2"/>
        <v>45996</v>
      </c>
      <c r="N19" s="379">
        <f>IF(E29&gt;1,F29,0)</f>
        <v>434718.24266666669</v>
      </c>
      <c r="O19" s="379"/>
      <c r="P19" s="380"/>
      <c r="Q19" s="381"/>
      <c r="T19" s="396" t="s">
        <v>119</v>
      </c>
      <c r="U19" s="396"/>
      <c r="W19" s="257">
        <f t="shared" ref="W19:W61" ca="1" si="3">IF(AND(DAY(W18)&gt;=6,DAY(W18)&lt;=20),DATE(YEAR(W18),MONTH(W18)+1,DAY(20)),IF(AND(DAY(W18)&gt;=21,DAY(W18)&lt;=30),DATE(YEAR(W18),MONTH(W18)+1,IF(DAY(EOMONTH(W18,1))&lt;30,DAY(EOMONTH(W18,1)),DAY(30))),DATE(YEAR(W18),MONTH(W18)+1,DAY(5))))</f>
        <v>45996</v>
      </c>
      <c r="X19" s="263" t="s">
        <v>120</v>
      </c>
      <c r="Y19" s="397" t="b">
        <f ca="1">IF(DAY(W17)=31,DATE(YEAR(X17),MONTH(X17)+2,DAY(5)))</f>
        <v>0</v>
      </c>
      <c r="Z19" s="398"/>
      <c r="AA19" s="264">
        <f ca="1">IF(AND(DAY(X17)&gt;=6,DAY(X17)&lt;=20),DATE(YEAR(X17),MONTH(X17)+1,DAY(20)),IF(AND(DAY(X17)&gt;=21,DAY(X17)&lt;=31),DATE(YEAR(X17),MONTH(X17)+1,IF(DAY(EOMONTH(X17,1))&lt;30,DAY(EOMONTH(X17,1)),DAY(30))),DATE(YEAR(X17),MONTH(X17)+1,DAY(5))))</f>
        <v>46147</v>
      </c>
    </row>
    <row r="20" spans="1:50" x14ac:dyDescent="0.3">
      <c r="A20" s="246"/>
      <c r="B20" s="180" t="s">
        <v>121</v>
      </c>
      <c r="C20" s="73"/>
      <c r="D20" s="88" t="s">
        <v>102</v>
      </c>
      <c r="E20" s="155">
        <v>0.1</v>
      </c>
      <c r="F20" s="393">
        <f>E20*F15</f>
        <v>1208322.4800000002</v>
      </c>
      <c r="G20" s="394"/>
      <c r="H20" s="394"/>
      <c r="I20" s="395"/>
      <c r="J20" s="79"/>
      <c r="K20" s="378" t="str">
        <f t="shared" si="1"/>
        <v>3rd EQUITY PAYMENT</v>
      </c>
      <c r="L20" s="378"/>
      <c r="M20" s="257">
        <f t="shared" ca="1" si="2"/>
        <v>46027</v>
      </c>
      <c r="N20" s="379">
        <f>IF(E29&gt;2,F29,0)</f>
        <v>434718.24266666669</v>
      </c>
      <c r="O20" s="379"/>
      <c r="P20" s="380"/>
      <c r="Q20" s="381"/>
      <c r="T20" s="396" t="s">
        <v>122</v>
      </c>
      <c r="U20" s="396"/>
      <c r="W20" s="257">
        <f t="shared" ca="1" si="3"/>
        <v>46027</v>
      </c>
      <c r="X20" s="263" t="s">
        <v>123</v>
      </c>
      <c r="Y20" s="397" t="b">
        <f ca="1">IF(DAY(W17)=31,DATE(YEAR(W17),MONTH(W17)+2,DAY(5)))</f>
        <v>0</v>
      </c>
      <c r="Z20" s="398"/>
      <c r="AA20" s="264">
        <f ca="1">IF(AND(DAY(W17)&gt;=6,DAY(W17)&lt;=20),DATE(YEAR(W17),MONTH(W17)+1,DAY(20)),IF(AND(DAY(W17)&gt;=21,DAY(W17)&lt;=30),DATE(YEAR(W17),MONTH(W17)+1,IF(DAY(EOMONTH(W17,1))&lt;31,DAY(EOMONTH(W17,1)),DAY(30))),DATE(YEAR(W17),MONTH(W17)+1,DAY(5))))</f>
        <v>45966</v>
      </c>
      <c r="AX20" s="91"/>
    </row>
    <row r="21" spans="1:50" x14ac:dyDescent="0.3">
      <c r="A21" s="76"/>
      <c r="B21" s="150"/>
      <c r="C21" s="79"/>
      <c r="D21" s="88"/>
      <c r="E21" s="85"/>
      <c r="F21" s="265"/>
      <c r="G21" s="259"/>
      <c r="H21" s="259"/>
      <c r="I21" s="259"/>
      <c r="J21" s="79"/>
      <c r="K21" s="378" t="str">
        <f t="shared" si="1"/>
        <v>4th EQUITY PAYMENT</v>
      </c>
      <c r="L21" s="378"/>
      <c r="M21" s="257">
        <f t="shared" ca="1" si="2"/>
        <v>46058</v>
      </c>
      <c r="N21" s="379">
        <f>IF(E29&gt;3,F29,0)</f>
        <v>434718.24266666669</v>
      </c>
      <c r="O21" s="379"/>
      <c r="P21" s="380"/>
      <c r="Q21" s="381"/>
      <c r="T21" s="396" t="s">
        <v>124</v>
      </c>
      <c r="U21" s="396"/>
      <c r="W21" s="257">
        <f t="shared" ca="1" si="3"/>
        <v>46058</v>
      </c>
      <c r="AX21" s="91"/>
    </row>
    <row r="22" spans="1:50" x14ac:dyDescent="0.3">
      <c r="A22" s="76"/>
      <c r="B22" s="148" t="s">
        <v>32</v>
      </c>
      <c r="C22" s="73"/>
      <c r="D22" s="85" t="s">
        <v>102</v>
      </c>
      <c r="E22" s="266"/>
      <c r="F22" s="400">
        <f>F17+F19+F20</f>
        <v>13291547.280000001</v>
      </c>
      <c r="G22" s="401"/>
      <c r="H22" s="401"/>
      <c r="I22" s="402"/>
      <c r="J22" s="79"/>
      <c r="K22" s="378" t="str">
        <f t="shared" si="1"/>
        <v>5th EQUITY PAYMENT</v>
      </c>
      <c r="L22" s="378"/>
      <c r="M22" s="257">
        <f t="shared" ca="1" si="2"/>
        <v>46086</v>
      </c>
      <c r="N22" s="379">
        <f>IF(E29&gt;4,F29,0)</f>
        <v>434718.24266666669</v>
      </c>
      <c r="O22" s="379"/>
      <c r="P22" s="380"/>
      <c r="Q22" s="381"/>
      <c r="T22" s="396" t="s">
        <v>125</v>
      </c>
      <c r="U22" s="396"/>
      <c r="W22" s="257">
        <f t="shared" ca="1" si="3"/>
        <v>46086</v>
      </c>
      <c r="AX22" s="91"/>
    </row>
    <row r="23" spans="1:50" x14ac:dyDescent="0.3">
      <c r="A23" s="76"/>
      <c r="B23" s="150"/>
      <c r="C23" s="79"/>
      <c r="D23" s="88"/>
      <c r="E23" s="85"/>
      <c r="F23" s="259"/>
      <c r="G23" s="267"/>
      <c r="H23" s="267"/>
      <c r="I23" s="267"/>
      <c r="J23" s="79"/>
      <c r="K23" s="378" t="str">
        <f t="shared" si="1"/>
        <v>6th EQUITY PAYMENT</v>
      </c>
      <c r="L23" s="378"/>
      <c r="M23" s="257">
        <f t="shared" ca="1" si="2"/>
        <v>46117</v>
      </c>
      <c r="N23" s="379">
        <f>IF(E29&gt;5,F29,0)</f>
        <v>434718.24266666669</v>
      </c>
      <c r="O23" s="379"/>
      <c r="P23" s="380"/>
      <c r="Q23" s="381"/>
      <c r="T23" s="396" t="s">
        <v>126</v>
      </c>
      <c r="U23" s="396"/>
      <c r="W23" s="257">
        <f t="shared" ca="1" si="3"/>
        <v>46117</v>
      </c>
      <c r="AX23" s="91"/>
    </row>
    <row r="24" spans="1:50" x14ac:dyDescent="0.3">
      <c r="A24" s="76"/>
      <c r="B24" s="143" t="s">
        <v>127</v>
      </c>
      <c r="C24" s="71"/>
      <c r="D24" s="253" t="s">
        <v>102</v>
      </c>
      <c r="E24" s="268">
        <f>IF([3]FORM!I26="",[3]FORM!I24,[3]FORM!I26)</f>
        <v>0.2</v>
      </c>
      <c r="F24" s="400">
        <f>F22*E24</f>
        <v>2658309.4560000002</v>
      </c>
      <c r="G24" s="401"/>
      <c r="H24" s="401"/>
      <c r="I24" s="402"/>
      <c r="J24" s="79"/>
      <c r="K24" s="378">
        <f t="shared" si="1"/>
        <v>0</v>
      </c>
      <c r="L24" s="378"/>
      <c r="M24" s="257" t="str">
        <f t="shared" si="2"/>
        <v/>
      </c>
      <c r="N24" s="379">
        <f>IF(E29&gt;6,F29,0)</f>
        <v>0</v>
      </c>
      <c r="O24" s="379"/>
      <c r="P24" s="380"/>
      <c r="Q24" s="381"/>
      <c r="T24" s="396" t="s">
        <v>128</v>
      </c>
      <c r="U24" s="396"/>
      <c r="W24" s="257">
        <f t="shared" ca="1" si="3"/>
        <v>46147</v>
      </c>
      <c r="AX24" s="91"/>
    </row>
    <row r="25" spans="1:50" x14ac:dyDescent="0.3">
      <c r="A25" s="76"/>
      <c r="B25" s="403" t="s">
        <v>129</v>
      </c>
      <c r="C25" s="403"/>
      <c r="D25" s="255" t="str">
        <f>D24</f>
        <v>:</v>
      </c>
      <c r="E25" s="269"/>
      <c r="F25" s="270">
        <v>0</v>
      </c>
      <c r="G25" s="270"/>
      <c r="H25" s="404"/>
      <c r="I25" s="405"/>
      <c r="J25" s="79"/>
      <c r="K25" s="378">
        <f t="shared" si="1"/>
        <v>0</v>
      </c>
      <c r="L25" s="378"/>
      <c r="M25" s="257" t="str">
        <f t="shared" si="2"/>
        <v/>
      </c>
      <c r="N25" s="379">
        <f>IF(E29&gt;7,F29,0)</f>
        <v>0</v>
      </c>
      <c r="O25" s="379"/>
      <c r="P25" s="380"/>
      <c r="Q25" s="381"/>
      <c r="T25" s="396" t="s">
        <v>130</v>
      </c>
      <c r="U25" s="396"/>
      <c r="W25" s="257">
        <f t="shared" ca="1" si="3"/>
        <v>46178</v>
      </c>
      <c r="AX25" s="91"/>
    </row>
    <row r="26" spans="1:50" x14ac:dyDescent="0.3">
      <c r="A26" s="83"/>
      <c r="B26" s="126" t="s">
        <v>131</v>
      </c>
      <c r="C26" s="125"/>
      <c r="D26" s="88" t="s">
        <v>102</v>
      </c>
      <c r="E26" s="271"/>
      <c r="F26" s="272">
        <v>50000</v>
      </c>
      <c r="G26" s="273"/>
      <c r="H26" s="274"/>
      <c r="I26" s="275"/>
      <c r="J26" s="79"/>
      <c r="K26" s="378">
        <f t="shared" si="1"/>
        <v>0</v>
      </c>
      <c r="L26" s="378"/>
      <c r="M26" s="257" t="str">
        <f t="shared" si="2"/>
        <v/>
      </c>
      <c r="N26" s="379">
        <f>IF(E29&gt;8,F29,0)</f>
        <v>0</v>
      </c>
      <c r="O26" s="379"/>
      <c r="P26" s="380"/>
      <c r="Q26" s="381"/>
      <c r="T26" s="396" t="s">
        <v>132</v>
      </c>
      <c r="U26" s="396"/>
      <c r="W26" s="257">
        <f t="shared" ca="1" si="3"/>
        <v>46208</v>
      </c>
      <c r="AX26" s="91"/>
    </row>
    <row r="27" spans="1:50" x14ac:dyDescent="0.3">
      <c r="A27" s="76"/>
      <c r="B27" s="148" t="s">
        <v>133</v>
      </c>
      <c r="C27" s="200"/>
      <c r="D27" s="85" t="s">
        <v>102</v>
      </c>
      <c r="E27" s="271"/>
      <c r="F27" s="400">
        <f>F24-F25-F26</f>
        <v>2608309.4560000002</v>
      </c>
      <c r="G27" s="401"/>
      <c r="H27" s="401"/>
      <c r="I27" s="402"/>
      <c r="J27" s="79"/>
      <c r="K27" s="378">
        <f t="shared" si="1"/>
        <v>0</v>
      </c>
      <c r="L27" s="378"/>
      <c r="M27" s="257" t="str">
        <f t="shared" si="2"/>
        <v/>
      </c>
      <c r="N27" s="379">
        <f>IF(E29&gt;9,F29,0)</f>
        <v>0</v>
      </c>
      <c r="O27" s="379"/>
      <c r="P27" s="380"/>
      <c r="Q27" s="381"/>
      <c r="T27" s="396" t="s">
        <v>134</v>
      </c>
      <c r="U27" s="396"/>
      <c r="W27" s="257">
        <f t="shared" ca="1" si="3"/>
        <v>46239</v>
      </c>
      <c r="AX27" s="91"/>
    </row>
    <row r="28" spans="1:50" x14ac:dyDescent="0.3">
      <c r="A28" s="76"/>
      <c r="B28" s="150"/>
      <c r="C28" s="79"/>
      <c r="D28" s="88"/>
      <c r="E28" s="85"/>
      <c r="F28" s="259"/>
      <c r="G28" s="267"/>
      <c r="H28" s="267"/>
      <c r="I28" s="267"/>
      <c r="J28" s="79"/>
      <c r="K28" s="378">
        <f t="shared" si="1"/>
        <v>0</v>
      </c>
      <c r="L28" s="378"/>
      <c r="M28" s="257" t="str">
        <f t="shared" si="2"/>
        <v/>
      </c>
      <c r="N28" s="379">
        <f>IF(E29&gt;10,F29,0)</f>
        <v>0</v>
      </c>
      <c r="O28" s="379"/>
      <c r="P28" s="380"/>
      <c r="Q28" s="381"/>
      <c r="T28" s="396" t="s">
        <v>135</v>
      </c>
      <c r="U28" s="396"/>
      <c r="W28" s="257">
        <f t="shared" ca="1" si="3"/>
        <v>46270</v>
      </c>
      <c r="AX28" s="91"/>
    </row>
    <row r="29" spans="1:50" x14ac:dyDescent="0.3">
      <c r="A29" s="276"/>
      <c r="B29" s="406" t="s">
        <v>136</v>
      </c>
      <c r="C29" s="406"/>
      <c r="D29" s="85" t="s">
        <v>102</v>
      </c>
      <c r="E29" s="277">
        <f>Pricelink!N31</f>
        <v>6</v>
      </c>
      <c r="F29" s="400">
        <f>F27/E29</f>
        <v>434718.24266666669</v>
      </c>
      <c r="G29" s="401"/>
      <c r="H29" s="401"/>
      <c r="I29" s="402"/>
      <c r="J29" s="79"/>
      <c r="K29" s="378">
        <f t="shared" si="1"/>
        <v>0</v>
      </c>
      <c r="L29" s="378"/>
      <c r="M29" s="257" t="str">
        <f t="shared" si="2"/>
        <v/>
      </c>
      <c r="N29" s="407">
        <f>IF(E29&gt;11,F29,0)</f>
        <v>0</v>
      </c>
      <c r="O29" s="407"/>
      <c r="P29" s="380"/>
      <c r="Q29" s="381"/>
      <c r="T29" s="396" t="s">
        <v>137</v>
      </c>
      <c r="U29" s="396"/>
      <c r="W29" s="257">
        <f t="shared" ca="1" si="3"/>
        <v>46300</v>
      </c>
      <c r="AX29" s="91"/>
    </row>
    <row r="30" spans="1:50" x14ac:dyDescent="0.3">
      <c r="A30" s="76"/>
      <c r="B30" s="76"/>
      <c r="C30" s="249"/>
      <c r="D30" s="88"/>
      <c r="E30" s="278"/>
      <c r="F30" s="259"/>
      <c r="G30" s="259"/>
      <c r="H30" s="259"/>
      <c r="I30" s="259"/>
      <c r="J30" s="79"/>
      <c r="K30" s="408">
        <f t="shared" si="1"/>
        <v>0</v>
      </c>
      <c r="L30" s="408"/>
      <c r="M30" s="257" t="str">
        <f t="shared" si="2"/>
        <v/>
      </c>
      <c r="N30" s="409">
        <f>IF(E29&gt;12,F29,0)</f>
        <v>0</v>
      </c>
      <c r="O30" s="409"/>
      <c r="P30" s="380"/>
      <c r="Q30" s="381"/>
      <c r="T30" s="396" t="s">
        <v>138</v>
      </c>
      <c r="U30" s="396"/>
      <c r="W30" s="257">
        <f t="shared" ca="1" si="3"/>
        <v>46331</v>
      </c>
      <c r="AX30" s="91"/>
    </row>
    <row r="31" spans="1:50" x14ac:dyDescent="0.3">
      <c r="A31" s="76"/>
      <c r="B31" s="148" t="s">
        <v>139</v>
      </c>
      <c r="C31" s="148"/>
      <c r="D31" s="85" t="s">
        <v>102</v>
      </c>
      <c r="E31" s="279">
        <f>100%-E24</f>
        <v>0.8</v>
      </c>
      <c r="F31" s="400">
        <f>F22*E31</f>
        <v>10633237.824000001</v>
      </c>
      <c r="G31" s="401"/>
      <c r="H31" s="401"/>
      <c r="I31" s="402"/>
      <c r="J31" s="79"/>
      <c r="K31" s="408">
        <f t="shared" si="1"/>
        <v>0</v>
      </c>
      <c r="L31" s="408"/>
      <c r="M31" s="257" t="str">
        <f t="shared" si="2"/>
        <v/>
      </c>
      <c r="N31" s="409">
        <f>IF(E29&gt;13,F29,0)</f>
        <v>0</v>
      </c>
      <c r="O31" s="409"/>
      <c r="P31" s="380"/>
      <c r="Q31" s="381"/>
      <c r="T31" s="396" t="s">
        <v>140</v>
      </c>
      <c r="U31" s="396"/>
      <c r="W31" s="257">
        <f t="shared" ca="1" si="3"/>
        <v>46361</v>
      </c>
      <c r="AX31" s="91"/>
    </row>
    <row r="32" spans="1:50" x14ac:dyDescent="0.3">
      <c r="A32" s="76"/>
      <c r="B32" s="76"/>
      <c r="C32" s="249"/>
      <c r="D32" s="278"/>
      <c r="E32" s="278"/>
      <c r="F32" s="278"/>
      <c r="G32" s="280"/>
      <c r="H32" s="280"/>
      <c r="I32" s="280"/>
      <c r="J32" s="170"/>
      <c r="K32" s="408">
        <f t="shared" si="1"/>
        <v>0</v>
      </c>
      <c r="L32" s="408"/>
      <c r="M32" s="257" t="str">
        <f t="shared" si="2"/>
        <v/>
      </c>
      <c r="N32" s="409">
        <f>IF(E29&gt;14,F29,0)</f>
        <v>0</v>
      </c>
      <c r="O32" s="409"/>
      <c r="P32" s="380"/>
      <c r="Q32" s="381"/>
      <c r="T32" s="396" t="s">
        <v>141</v>
      </c>
      <c r="U32" s="396"/>
      <c r="W32" s="257">
        <f t="shared" ca="1" si="3"/>
        <v>46392</v>
      </c>
      <c r="AX32" s="91"/>
    </row>
    <row r="33" spans="1:49" s="91" customFormat="1" x14ac:dyDescent="0.3">
      <c r="A33" s="76"/>
      <c r="B33" s="73" t="s">
        <v>142</v>
      </c>
      <c r="C33" s="180"/>
      <c r="D33" s="137"/>
      <c r="E33" s="281"/>
      <c r="F33" s="278"/>
      <c r="G33" s="280"/>
      <c r="H33" s="280"/>
      <c r="I33" s="280"/>
      <c r="J33" s="85"/>
      <c r="K33" s="408">
        <f t="shared" si="1"/>
        <v>0</v>
      </c>
      <c r="L33" s="408"/>
      <c r="M33" s="257" t="str">
        <f t="shared" si="2"/>
        <v/>
      </c>
      <c r="N33" s="409">
        <f>IF(E29&gt;15,F29,0)</f>
        <v>0</v>
      </c>
      <c r="O33" s="409"/>
      <c r="P33" s="380"/>
      <c r="Q33" s="381"/>
      <c r="T33" s="396" t="s">
        <v>143</v>
      </c>
      <c r="U33" s="396"/>
      <c r="W33" s="257">
        <f t="shared" ca="1" si="3"/>
        <v>46423</v>
      </c>
      <c r="AJ33" s="234"/>
      <c r="AW33" s="235"/>
    </row>
    <row r="34" spans="1:49" s="91" customFormat="1" x14ac:dyDescent="0.3">
      <c r="A34" s="76"/>
      <c r="B34" s="76"/>
      <c r="C34" s="249"/>
      <c r="D34" s="249"/>
      <c r="E34" s="282"/>
      <c r="F34" s="214"/>
      <c r="G34" s="214"/>
      <c r="H34" s="214"/>
      <c r="I34" s="214"/>
      <c r="J34" s="249"/>
      <c r="K34" s="408">
        <f t="shared" si="1"/>
        <v>0</v>
      </c>
      <c r="L34" s="408"/>
      <c r="M34" s="257" t="str">
        <f t="shared" si="2"/>
        <v/>
      </c>
      <c r="N34" s="409">
        <f>IF(E29&gt;16,F29,0)</f>
        <v>0</v>
      </c>
      <c r="O34" s="409"/>
      <c r="P34" s="380"/>
      <c r="Q34" s="381"/>
      <c r="T34" s="396" t="s">
        <v>144</v>
      </c>
      <c r="U34" s="396"/>
      <c r="W34" s="257">
        <f t="shared" ca="1" si="3"/>
        <v>46451</v>
      </c>
      <c r="AJ34" s="234"/>
      <c r="AW34" s="235"/>
    </row>
    <row r="35" spans="1:49" s="91" customFormat="1" x14ac:dyDescent="0.3">
      <c r="A35" s="76"/>
      <c r="B35" s="217" t="s">
        <v>145</v>
      </c>
      <c r="C35" s="217" t="s">
        <v>146</v>
      </c>
      <c r="D35" s="217" t="s">
        <v>147</v>
      </c>
      <c r="E35" s="217" t="s">
        <v>148</v>
      </c>
      <c r="F35" s="387" t="s">
        <v>149</v>
      </c>
      <c r="G35" s="387"/>
      <c r="H35" s="387"/>
      <c r="I35" s="387"/>
      <c r="J35" s="79"/>
      <c r="K35" s="408">
        <f t="shared" si="1"/>
        <v>0</v>
      </c>
      <c r="L35" s="408"/>
      <c r="M35" s="257" t="str">
        <f t="shared" si="2"/>
        <v/>
      </c>
      <c r="N35" s="409">
        <f>IF(E29&gt;17,F29,0)</f>
        <v>0</v>
      </c>
      <c r="O35" s="409"/>
      <c r="P35" s="380"/>
      <c r="Q35" s="381"/>
      <c r="T35" s="396" t="s">
        <v>150</v>
      </c>
      <c r="U35" s="396"/>
      <c r="W35" s="257">
        <f t="shared" ca="1" si="3"/>
        <v>46482</v>
      </c>
      <c r="AJ35" s="234"/>
      <c r="AW35" s="235"/>
    </row>
    <row r="36" spans="1:49" s="91" customFormat="1" x14ac:dyDescent="0.3">
      <c r="A36" s="76"/>
      <c r="B36" s="218">
        <v>5</v>
      </c>
      <c r="C36" s="219">
        <v>0.08</v>
      </c>
      <c r="D36" s="220">
        <f>PMT(C36/12,B36*12,-1)</f>
        <v>2.0276394288413678E-2</v>
      </c>
      <c r="E36" s="221">
        <f>F31*D36</f>
        <v>215603.7226818979</v>
      </c>
      <c r="F36" s="379">
        <f>E36/0.3</f>
        <v>718679.07560632634</v>
      </c>
      <c r="G36" s="379"/>
      <c r="H36" s="379"/>
      <c r="I36" s="379"/>
      <c r="J36" s="79"/>
      <c r="K36" s="408">
        <f t="shared" si="1"/>
        <v>0</v>
      </c>
      <c r="L36" s="408"/>
      <c r="M36" s="257" t="str">
        <f t="shared" si="2"/>
        <v/>
      </c>
      <c r="N36" s="409">
        <f>IF(E29&gt;18,F29,0)</f>
        <v>0</v>
      </c>
      <c r="O36" s="409"/>
      <c r="P36" s="380"/>
      <c r="Q36" s="381"/>
      <c r="T36" s="396" t="s">
        <v>151</v>
      </c>
      <c r="U36" s="396"/>
      <c r="W36" s="257">
        <f t="shared" ca="1" si="3"/>
        <v>46512</v>
      </c>
      <c r="AJ36" s="234"/>
      <c r="AW36" s="235"/>
    </row>
    <row r="37" spans="1:49" s="91" customFormat="1" x14ac:dyDescent="0.3">
      <c r="A37" s="76"/>
      <c r="B37" s="218">
        <v>10</v>
      </c>
      <c r="C37" s="219">
        <v>0.08</v>
      </c>
      <c r="D37" s="220">
        <f>PMT(C37/12,B37*12,-1)</f>
        <v>1.2132759435535692E-2</v>
      </c>
      <c r="E37" s="221">
        <f>F31*D37</f>
        <v>129010.51653943103</v>
      </c>
      <c r="F37" s="379">
        <f t="shared" ref="F37" si="4">E37/0.3</f>
        <v>430035.05513143679</v>
      </c>
      <c r="G37" s="379"/>
      <c r="H37" s="379"/>
      <c r="I37" s="379"/>
      <c r="J37" s="79"/>
      <c r="K37" s="408">
        <f t="shared" si="1"/>
        <v>0</v>
      </c>
      <c r="L37" s="408"/>
      <c r="M37" s="257" t="str">
        <f t="shared" si="2"/>
        <v/>
      </c>
      <c r="N37" s="409">
        <f>IF(E29&gt;19,F29,0)</f>
        <v>0</v>
      </c>
      <c r="O37" s="409"/>
      <c r="P37" s="380"/>
      <c r="Q37" s="381"/>
      <c r="T37" s="396" t="s">
        <v>152</v>
      </c>
      <c r="U37" s="396"/>
      <c r="W37" s="257">
        <f t="shared" ca="1" si="3"/>
        <v>46543</v>
      </c>
      <c r="AJ37" s="234"/>
      <c r="AW37" s="235"/>
    </row>
    <row r="38" spans="1:49" s="91" customFormat="1" x14ac:dyDescent="0.3">
      <c r="A38" s="76"/>
      <c r="B38" s="218">
        <v>15</v>
      </c>
      <c r="C38" s="219">
        <v>0.08</v>
      </c>
      <c r="D38" s="220">
        <f t="shared" ref="D38" si="5">PMT(C38/12,B38*12,-1)</f>
        <v>9.5565208433035145E-3</v>
      </c>
      <c r="E38" s="221">
        <f>F31*D38</f>
        <v>101616.75889685932</v>
      </c>
      <c r="F38" s="379">
        <f>E38/0.3</f>
        <v>338722.52965619776</v>
      </c>
      <c r="G38" s="379"/>
      <c r="H38" s="379"/>
      <c r="I38" s="379"/>
      <c r="J38" s="79"/>
      <c r="K38" s="408">
        <f t="shared" si="1"/>
        <v>0</v>
      </c>
      <c r="L38" s="408"/>
      <c r="M38" s="257" t="str">
        <f t="shared" si="2"/>
        <v/>
      </c>
      <c r="N38" s="409">
        <f>IF(E29&gt;20,F29,0)</f>
        <v>0</v>
      </c>
      <c r="O38" s="409"/>
      <c r="P38" s="380"/>
      <c r="Q38" s="381"/>
      <c r="T38" s="396" t="s">
        <v>153</v>
      </c>
      <c r="U38" s="396"/>
      <c r="W38" s="257">
        <f t="shared" ca="1" si="3"/>
        <v>46573</v>
      </c>
      <c r="AJ38" s="234"/>
      <c r="AW38" s="235"/>
    </row>
    <row r="39" spans="1:49" s="91" customFormat="1" x14ac:dyDescent="0.3">
      <c r="A39" s="76"/>
      <c r="B39" s="223" t="s">
        <v>154</v>
      </c>
      <c r="C39" s="283"/>
      <c r="D39" s="284"/>
      <c r="E39" s="285"/>
      <c r="F39" s="410"/>
      <c r="G39" s="410"/>
      <c r="H39" s="286"/>
      <c r="I39" s="76"/>
      <c r="J39" s="79"/>
      <c r="K39" s="408">
        <f t="shared" si="1"/>
        <v>0</v>
      </c>
      <c r="L39" s="408"/>
      <c r="M39" s="257" t="str">
        <f t="shared" si="2"/>
        <v/>
      </c>
      <c r="N39" s="409">
        <f>IF(E29&gt;21,F29,0)</f>
        <v>0</v>
      </c>
      <c r="O39" s="409"/>
      <c r="P39" s="380"/>
      <c r="Q39" s="381"/>
      <c r="T39" s="396" t="s">
        <v>155</v>
      </c>
      <c r="U39" s="396"/>
      <c r="W39" s="257">
        <f t="shared" ca="1" si="3"/>
        <v>46604</v>
      </c>
      <c r="AJ39" s="234"/>
      <c r="AW39" s="235"/>
    </row>
    <row r="40" spans="1:49" s="91" customFormat="1" x14ac:dyDescent="0.3">
      <c r="A40" s="76"/>
      <c r="B40" s="223" t="s">
        <v>156</v>
      </c>
      <c r="C40" s="225"/>
      <c r="D40" s="88"/>
      <c r="E40" s="76"/>
      <c r="F40" s="76"/>
      <c r="G40" s="76"/>
      <c r="H40" s="76"/>
      <c r="I40" s="76"/>
      <c r="J40" s="79"/>
      <c r="K40" s="408">
        <f t="shared" si="1"/>
        <v>0</v>
      </c>
      <c r="L40" s="408"/>
      <c r="M40" s="257" t="str">
        <f t="shared" si="2"/>
        <v/>
      </c>
      <c r="N40" s="409">
        <f>IF(E29&gt;22,F29,0)</f>
        <v>0</v>
      </c>
      <c r="O40" s="409"/>
      <c r="P40" s="380"/>
      <c r="Q40" s="381"/>
      <c r="T40" s="396" t="s">
        <v>157</v>
      </c>
      <c r="U40" s="396"/>
      <c r="W40" s="257">
        <f t="shared" ca="1" si="3"/>
        <v>46635</v>
      </c>
      <c r="AJ40" s="234"/>
      <c r="AN40" s="287">
        <v>3128865.99</v>
      </c>
      <c r="AW40" s="235"/>
    </row>
    <row r="41" spans="1:49" s="91" customFormat="1" x14ac:dyDescent="0.3">
      <c r="A41" s="76"/>
      <c r="B41" s="224" t="s">
        <v>158</v>
      </c>
      <c r="C41" s="76"/>
      <c r="D41" s="88"/>
      <c r="E41" s="76"/>
      <c r="F41" s="76"/>
      <c r="G41" s="76"/>
      <c r="H41" s="76"/>
      <c r="I41" s="76"/>
      <c r="J41" s="79"/>
      <c r="K41" s="408">
        <f t="shared" si="1"/>
        <v>0</v>
      </c>
      <c r="L41" s="408"/>
      <c r="M41" s="257" t="str">
        <f t="shared" si="2"/>
        <v/>
      </c>
      <c r="N41" s="409">
        <f>IF(E29&gt;24,F29,0)</f>
        <v>0</v>
      </c>
      <c r="O41" s="409"/>
      <c r="P41" s="380"/>
      <c r="Q41" s="381"/>
      <c r="T41" s="396" t="s">
        <v>159</v>
      </c>
      <c r="U41" s="396"/>
      <c r="W41" s="257">
        <f t="shared" ca="1" si="3"/>
        <v>46665</v>
      </c>
      <c r="AJ41" s="234"/>
      <c r="AW41" s="235"/>
    </row>
    <row r="42" spans="1:49" s="91" customFormat="1" x14ac:dyDescent="0.3">
      <c r="A42" s="76"/>
      <c r="B42" s="224" t="s">
        <v>160</v>
      </c>
      <c r="C42" s="225"/>
      <c r="D42" s="88"/>
      <c r="E42" s="76"/>
      <c r="F42" s="76"/>
      <c r="G42" s="76"/>
      <c r="H42" s="76"/>
      <c r="I42" s="76"/>
      <c r="J42" s="85"/>
      <c r="K42" s="408">
        <f t="shared" si="1"/>
        <v>0</v>
      </c>
      <c r="L42" s="408"/>
      <c r="M42" s="257" t="str">
        <f t="shared" si="2"/>
        <v/>
      </c>
      <c r="N42" s="409">
        <f>IF(E29&gt;24,F29,0)</f>
        <v>0</v>
      </c>
      <c r="O42" s="409"/>
      <c r="P42" s="380"/>
      <c r="Q42" s="381"/>
      <c r="T42" s="396" t="s">
        <v>161</v>
      </c>
      <c r="U42" s="396"/>
      <c r="W42" s="257">
        <f t="shared" ca="1" si="3"/>
        <v>46696</v>
      </c>
      <c r="AJ42" s="234"/>
      <c r="AW42" s="235"/>
    </row>
    <row r="43" spans="1:49" s="91" customFormat="1" hidden="1" x14ac:dyDescent="0.3">
      <c r="A43" s="76"/>
      <c r="B43" s="223"/>
      <c r="C43" s="76"/>
      <c r="D43" s="76"/>
      <c r="E43" s="76"/>
      <c r="F43" s="76"/>
      <c r="G43" s="76"/>
      <c r="H43" s="76"/>
      <c r="I43" s="76"/>
      <c r="J43" s="88"/>
      <c r="K43" s="378">
        <f t="shared" si="1"/>
        <v>0</v>
      </c>
      <c r="L43" s="378"/>
      <c r="M43" s="257" t="str">
        <f t="shared" si="2"/>
        <v/>
      </c>
      <c r="N43" s="407">
        <f>IF(E29&gt;25,F29,0)</f>
        <v>0</v>
      </c>
      <c r="O43" s="407"/>
      <c r="P43" s="380"/>
      <c r="Q43" s="381"/>
      <c r="T43" s="396" t="s">
        <v>162</v>
      </c>
      <c r="U43" s="396"/>
      <c r="W43" s="257">
        <f t="shared" ca="1" si="3"/>
        <v>46726</v>
      </c>
      <c r="AJ43" s="234"/>
      <c r="AW43" s="235"/>
    </row>
    <row r="44" spans="1:49" s="91" customFormat="1" hidden="1" x14ac:dyDescent="0.3">
      <c r="A44" s="76"/>
      <c r="B44" s="164" t="s">
        <v>163</v>
      </c>
      <c r="C44" s="164"/>
      <c r="D44" s="249"/>
      <c r="E44" s="249"/>
      <c r="F44" s="249"/>
      <c r="G44" s="249"/>
      <c r="H44" s="249"/>
      <c r="I44" s="249"/>
      <c r="J44" s="88"/>
      <c r="K44" s="378">
        <f t="shared" si="1"/>
        <v>0</v>
      </c>
      <c r="L44" s="378"/>
      <c r="M44" s="257" t="str">
        <f t="shared" si="2"/>
        <v/>
      </c>
      <c r="N44" s="407">
        <f>IF(E29&gt;26,F29,0)</f>
        <v>0</v>
      </c>
      <c r="O44" s="407"/>
      <c r="P44" s="380"/>
      <c r="Q44" s="381"/>
      <c r="T44" s="396" t="s">
        <v>164</v>
      </c>
      <c r="U44" s="396"/>
      <c r="W44" s="257">
        <f t="shared" ca="1" si="3"/>
        <v>46757</v>
      </c>
      <c r="AJ44" s="234"/>
      <c r="AW44" s="235"/>
    </row>
    <row r="45" spans="1:49" s="91" customFormat="1" hidden="1" x14ac:dyDescent="0.3">
      <c r="A45" s="76"/>
      <c r="B45" s="249"/>
      <c r="C45" s="249"/>
      <c r="D45" s="249"/>
      <c r="E45" s="249"/>
      <c r="F45" s="249"/>
      <c r="G45" s="249"/>
      <c r="H45" s="249"/>
      <c r="I45" s="249"/>
      <c r="J45" s="88"/>
      <c r="K45" s="378">
        <f t="shared" si="1"/>
        <v>0</v>
      </c>
      <c r="L45" s="378"/>
      <c r="M45" s="257" t="str">
        <f t="shared" si="2"/>
        <v/>
      </c>
      <c r="N45" s="407">
        <f>IF($E$29&gt;27,$F$29,0)</f>
        <v>0</v>
      </c>
      <c r="O45" s="407"/>
      <c r="P45" s="380"/>
      <c r="Q45" s="381"/>
      <c r="T45" s="396" t="s">
        <v>165</v>
      </c>
      <c r="U45" s="396"/>
      <c r="W45" s="257">
        <f t="shared" ca="1" si="3"/>
        <v>46788</v>
      </c>
      <c r="AJ45" s="234"/>
      <c r="AW45" s="235"/>
    </row>
    <row r="46" spans="1:49" s="91" customFormat="1" hidden="1" x14ac:dyDescent="0.3">
      <c r="A46" s="76"/>
      <c r="B46" s="411"/>
      <c r="C46" s="411"/>
      <c r="D46" s="411"/>
      <c r="E46" s="411"/>
      <c r="F46" s="411"/>
      <c r="G46" s="411"/>
      <c r="H46" s="411"/>
      <c r="I46" s="411"/>
      <c r="J46" s="88"/>
      <c r="K46" s="378">
        <f t="shared" si="1"/>
        <v>0</v>
      </c>
      <c r="L46" s="378"/>
      <c r="M46" s="257" t="str">
        <f t="shared" si="2"/>
        <v/>
      </c>
      <c r="N46" s="407">
        <f>IF($E$29&gt;28,$F$29,0)</f>
        <v>0</v>
      </c>
      <c r="O46" s="407"/>
      <c r="P46" s="380"/>
      <c r="Q46" s="381"/>
      <c r="T46" s="396" t="s">
        <v>166</v>
      </c>
      <c r="U46" s="396"/>
      <c r="W46" s="257">
        <f t="shared" ca="1" si="3"/>
        <v>46817</v>
      </c>
    </row>
    <row r="47" spans="1:49" s="91" customFormat="1" hidden="1" x14ac:dyDescent="0.3">
      <c r="A47" s="76"/>
      <c r="B47" s="413"/>
      <c r="C47" s="413"/>
      <c r="D47" s="413"/>
      <c r="E47" s="413"/>
      <c r="F47" s="413"/>
      <c r="G47" s="414"/>
      <c r="H47" s="414"/>
      <c r="I47" s="414"/>
      <c r="J47" s="85"/>
      <c r="K47" s="378">
        <f t="shared" si="1"/>
        <v>0</v>
      </c>
      <c r="L47" s="378"/>
      <c r="M47" s="257" t="str">
        <f t="shared" si="2"/>
        <v/>
      </c>
      <c r="N47" s="407">
        <f>IF($E$29&gt;29,$F$29,0)</f>
        <v>0</v>
      </c>
      <c r="O47" s="407"/>
      <c r="P47" s="380"/>
      <c r="Q47" s="381"/>
      <c r="T47" s="396" t="s">
        <v>167</v>
      </c>
      <c r="U47" s="396"/>
      <c r="W47" s="257">
        <f t="shared" ca="1" si="3"/>
        <v>46848</v>
      </c>
    </row>
    <row r="48" spans="1:49" s="91" customFormat="1" ht="15" hidden="1" customHeight="1" x14ac:dyDescent="0.3">
      <c r="A48" s="76"/>
      <c r="B48" s="413"/>
      <c r="C48" s="413"/>
      <c r="D48" s="413"/>
      <c r="E48" s="413"/>
      <c r="F48" s="413"/>
      <c r="G48" s="414"/>
      <c r="H48" s="414"/>
      <c r="I48" s="414"/>
      <c r="J48" s="85"/>
      <c r="K48" s="378">
        <f t="shared" si="1"/>
        <v>0</v>
      </c>
      <c r="L48" s="378"/>
      <c r="M48" s="257" t="str">
        <f t="shared" si="2"/>
        <v/>
      </c>
      <c r="N48" s="407">
        <f>IF($E$29&gt;30,$F$29,0)</f>
        <v>0</v>
      </c>
      <c r="O48" s="407"/>
      <c r="P48" s="380"/>
      <c r="Q48" s="381"/>
      <c r="T48" s="412" t="s">
        <v>168</v>
      </c>
      <c r="U48" s="412"/>
      <c r="W48" s="257">
        <f t="shared" ca="1" si="3"/>
        <v>46878</v>
      </c>
    </row>
    <row r="49" spans="1:23" s="91" customFormat="1" hidden="1" x14ac:dyDescent="0.3">
      <c r="A49" s="76"/>
      <c r="B49" s="413"/>
      <c r="C49" s="413"/>
      <c r="D49" s="413"/>
      <c r="E49" s="413"/>
      <c r="F49" s="413"/>
      <c r="G49" s="414"/>
      <c r="H49" s="414"/>
      <c r="I49" s="414"/>
      <c r="J49" s="214"/>
      <c r="K49" s="378">
        <f t="shared" si="1"/>
        <v>0</v>
      </c>
      <c r="L49" s="378"/>
      <c r="M49" s="257" t="str">
        <f t="shared" si="2"/>
        <v/>
      </c>
      <c r="N49" s="407">
        <f>IF($E$29&gt;31,$F$29,0)</f>
        <v>0</v>
      </c>
      <c r="O49" s="407"/>
      <c r="P49" s="380"/>
      <c r="Q49" s="381"/>
      <c r="T49" s="412" t="s">
        <v>169</v>
      </c>
      <c r="U49" s="412"/>
      <c r="W49" s="257">
        <f t="shared" ca="1" si="3"/>
        <v>46909</v>
      </c>
    </row>
    <row r="50" spans="1:23" s="91" customFormat="1" ht="15" hidden="1" customHeight="1" x14ac:dyDescent="0.3">
      <c r="A50" s="76"/>
      <c r="B50" s="413"/>
      <c r="C50" s="413"/>
      <c r="D50" s="413"/>
      <c r="E50" s="413"/>
      <c r="F50" s="413"/>
      <c r="G50" s="414"/>
      <c r="H50" s="414"/>
      <c r="I50" s="414"/>
      <c r="J50" s="214"/>
      <c r="K50" s="378">
        <f t="shared" si="1"/>
        <v>0</v>
      </c>
      <c r="L50" s="378"/>
      <c r="M50" s="257" t="str">
        <f t="shared" si="2"/>
        <v/>
      </c>
      <c r="N50" s="407">
        <f>IF($E$29&gt;32,$F$29,0)</f>
        <v>0</v>
      </c>
      <c r="O50" s="407"/>
      <c r="P50" s="380"/>
      <c r="Q50" s="381"/>
      <c r="T50" s="396" t="s">
        <v>170</v>
      </c>
      <c r="U50" s="396"/>
      <c r="W50" s="257">
        <f t="shared" ca="1" si="3"/>
        <v>46939</v>
      </c>
    </row>
    <row r="51" spans="1:23" s="91" customFormat="1" hidden="1" x14ac:dyDescent="0.3">
      <c r="A51" s="76"/>
      <c r="B51" s="413"/>
      <c r="C51" s="413"/>
      <c r="D51" s="413"/>
      <c r="E51" s="413"/>
      <c r="F51" s="413"/>
      <c r="G51" s="414"/>
      <c r="H51" s="414"/>
      <c r="I51" s="414"/>
      <c r="J51" s="214"/>
      <c r="K51" s="378">
        <f t="shared" si="1"/>
        <v>0</v>
      </c>
      <c r="L51" s="378"/>
      <c r="M51" s="257" t="str">
        <f t="shared" si="2"/>
        <v/>
      </c>
      <c r="N51" s="407">
        <f>IF($E$29&gt;33,$F$29,0)</f>
        <v>0</v>
      </c>
      <c r="O51" s="407"/>
      <c r="P51" s="380"/>
      <c r="Q51" s="381"/>
      <c r="T51" s="396" t="s">
        <v>171</v>
      </c>
      <c r="U51" s="396"/>
      <c r="W51" s="257">
        <f t="shared" ca="1" si="3"/>
        <v>46970</v>
      </c>
    </row>
    <row r="52" spans="1:23" s="91" customFormat="1" ht="15" hidden="1" customHeight="1" x14ac:dyDescent="0.3">
      <c r="A52" s="76"/>
      <c r="B52" s="413"/>
      <c r="C52" s="413"/>
      <c r="D52" s="413"/>
      <c r="E52" s="413"/>
      <c r="F52" s="413"/>
      <c r="G52" s="414"/>
      <c r="H52" s="414"/>
      <c r="I52" s="414"/>
      <c r="J52" s="76"/>
      <c r="K52" s="378">
        <f t="shared" si="1"/>
        <v>0</v>
      </c>
      <c r="L52" s="378"/>
      <c r="M52" s="257" t="str">
        <f t="shared" si="2"/>
        <v/>
      </c>
      <c r="N52" s="407">
        <f>IF($E$29&gt;34,$F$29,0)</f>
        <v>0</v>
      </c>
      <c r="O52" s="407"/>
      <c r="P52" s="380"/>
      <c r="Q52" s="381"/>
      <c r="T52" s="396" t="s">
        <v>172</v>
      </c>
      <c r="U52" s="396"/>
      <c r="W52" s="257">
        <f t="shared" ca="1" si="3"/>
        <v>47001</v>
      </c>
    </row>
    <row r="53" spans="1:23" s="91" customFormat="1" hidden="1" x14ac:dyDescent="0.3">
      <c r="A53" s="76"/>
      <c r="B53" s="413"/>
      <c r="C53" s="413"/>
      <c r="D53" s="413"/>
      <c r="E53" s="413"/>
      <c r="F53" s="413"/>
      <c r="G53" s="414"/>
      <c r="H53" s="414"/>
      <c r="I53" s="414"/>
      <c r="J53" s="76"/>
      <c r="K53" s="378">
        <f t="shared" si="1"/>
        <v>0</v>
      </c>
      <c r="L53" s="378"/>
      <c r="M53" s="257" t="str">
        <f t="shared" si="2"/>
        <v/>
      </c>
      <c r="N53" s="407">
        <f>IF($E$29&gt;35,$F$29,0)</f>
        <v>0</v>
      </c>
      <c r="O53" s="407"/>
      <c r="P53" s="380"/>
      <c r="Q53" s="381"/>
      <c r="T53" s="396" t="s">
        <v>173</v>
      </c>
      <c r="U53" s="396"/>
      <c r="W53" s="257">
        <f t="shared" ca="1" si="3"/>
        <v>47031</v>
      </c>
    </row>
    <row r="54" spans="1:23" s="91" customFormat="1" ht="15" hidden="1" customHeight="1" x14ac:dyDescent="0.3">
      <c r="A54" s="76"/>
      <c r="B54" s="413"/>
      <c r="C54" s="413"/>
      <c r="D54" s="413"/>
      <c r="E54" s="413"/>
      <c r="F54" s="413"/>
      <c r="G54" s="414"/>
      <c r="H54" s="414"/>
      <c r="I54" s="414"/>
      <c r="J54" s="76"/>
      <c r="K54" s="378">
        <f t="shared" si="1"/>
        <v>0</v>
      </c>
      <c r="L54" s="378"/>
      <c r="M54" s="257" t="str">
        <f t="shared" si="2"/>
        <v/>
      </c>
      <c r="N54" s="407">
        <f>IF($E$29&gt;36,$F$29,0)</f>
        <v>0</v>
      </c>
      <c r="O54" s="407"/>
      <c r="P54" s="380"/>
      <c r="Q54" s="381"/>
      <c r="T54" s="396" t="s">
        <v>174</v>
      </c>
      <c r="U54" s="396"/>
      <c r="W54" s="257">
        <f ca="1">IF(AND(DAY(W53)&gt;=6,DAY(W53)&lt;=20),DATE(YEAR(W53),MONTH(W53)+1,DAY(20)),IF(AND(DAY(W53)&gt;=21,DAY(W53)&lt;=30),DATE(YEAR(W53),MONTH(W53)+1,IF(DAY(EOMONTH(W53,1))&lt;30,DAY(EOMONTH(W53,1)),DAY(30))),DATE(YEAR(W53),MONTH(W53)+1,DAY(5))))</f>
        <v>47062</v>
      </c>
    </row>
    <row r="55" spans="1:23" s="91" customFormat="1" hidden="1" x14ac:dyDescent="0.3">
      <c r="A55" s="76"/>
      <c r="B55" s="413"/>
      <c r="C55" s="413"/>
      <c r="D55" s="413"/>
      <c r="E55" s="413"/>
      <c r="F55" s="413"/>
      <c r="G55" s="414"/>
      <c r="H55" s="414"/>
      <c r="I55" s="414"/>
      <c r="J55" s="76"/>
      <c r="K55" s="378">
        <f t="shared" si="1"/>
        <v>0</v>
      </c>
      <c r="L55" s="378"/>
      <c r="M55" s="257" t="str">
        <f t="shared" si="2"/>
        <v/>
      </c>
      <c r="N55" s="407">
        <f>IF($E$29&gt;37,$F$29,0)</f>
        <v>0</v>
      </c>
      <c r="O55" s="407"/>
      <c r="P55" s="380"/>
      <c r="Q55" s="381"/>
      <c r="T55" s="396" t="s">
        <v>175</v>
      </c>
      <c r="U55" s="396"/>
      <c r="W55" s="257">
        <f t="shared" ca="1" si="3"/>
        <v>47092</v>
      </c>
    </row>
    <row r="56" spans="1:23" s="91" customFormat="1" ht="15" hidden="1" customHeight="1" x14ac:dyDescent="0.3">
      <c r="A56" s="76"/>
      <c r="B56" s="413"/>
      <c r="C56" s="413"/>
      <c r="D56" s="413"/>
      <c r="E56" s="413"/>
      <c r="F56" s="413"/>
      <c r="G56" s="414"/>
      <c r="H56" s="414"/>
      <c r="I56" s="414"/>
      <c r="J56" s="76"/>
      <c r="K56" s="378">
        <f t="shared" si="1"/>
        <v>0</v>
      </c>
      <c r="L56" s="378"/>
      <c r="M56" s="257" t="str">
        <f t="shared" si="2"/>
        <v/>
      </c>
      <c r="N56" s="407">
        <f>IF($E$29&gt;38,$F$29,0)</f>
        <v>0</v>
      </c>
      <c r="O56" s="407"/>
      <c r="P56" s="380"/>
      <c r="Q56" s="381"/>
      <c r="T56" s="396" t="s">
        <v>176</v>
      </c>
      <c r="U56" s="396"/>
      <c r="W56" s="257">
        <f t="shared" ca="1" si="3"/>
        <v>47123</v>
      </c>
    </row>
    <row r="57" spans="1:23" s="91" customFormat="1" hidden="1" x14ac:dyDescent="0.3">
      <c r="A57" s="76"/>
      <c r="B57" s="413"/>
      <c r="C57" s="413"/>
      <c r="D57" s="413"/>
      <c r="E57" s="413"/>
      <c r="F57" s="413"/>
      <c r="G57" s="414"/>
      <c r="H57" s="414"/>
      <c r="I57" s="414"/>
      <c r="J57" s="214"/>
      <c r="K57" s="378">
        <f t="shared" si="1"/>
        <v>0</v>
      </c>
      <c r="L57" s="378"/>
      <c r="M57" s="257" t="str">
        <f t="shared" si="2"/>
        <v/>
      </c>
      <c r="N57" s="407">
        <f>IF($E$29&gt;39,$F$29,0)</f>
        <v>0</v>
      </c>
      <c r="O57" s="407"/>
      <c r="P57" s="380"/>
      <c r="Q57" s="381"/>
      <c r="T57" s="396" t="s">
        <v>177</v>
      </c>
      <c r="U57" s="396"/>
      <c r="W57" s="257">
        <f t="shared" ca="1" si="3"/>
        <v>47154</v>
      </c>
    </row>
    <row r="58" spans="1:23" s="91" customFormat="1" ht="12.75" hidden="1" customHeight="1" x14ac:dyDescent="0.3">
      <c r="A58" s="76"/>
      <c r="B58" s="413"/>
      <c r="C58" s="413"/>
      <c r="D58" s="413"/>
      <c r="E58" s="413"/>
      <c r="F58" s="413"/>
      <c r="G58" s="414"/>
      <c r="H58" s="414"/>
      <c r="I58" s="414"/>
      <c r="J58" s="214"/>
      <c r="K58" s="378">
        <f t="shared" si="1"/>
        <v>0</v>
      </c>
      <c r="L58" s="378"/>
      <c r="M58" s="257" t="str">
        <f t="shared" si="2"/>
        <v/>
      </c>
      <c r="N58" s="407">
        <f>IF($E$29&gt;40,$F$29,0)</f>
        <v>0</v>
      </c>
      <c r="O58" s="407"/>
      <c r="P58" s="380"/>
      <c r="Q58" s="381"/>
      <c r="T58" s="396" t="s">
        <v>178</v>
      </c>
      <c r="U58" s="396"/>
      <c r="W58" s="257">
        <f t="shared" ca="1" si="3"/>
        <v>47182</v>
      </c>
    </row>
    <row r="59" spans="1:23" s="91" customFormat="1" hidden="1" x14ac:dyDescent="0.3">
      <c r="A59" s="76"/>
      <c r="B59" s="223"/>
      <c r="C59" s="76"/>
      <c r="D59" s="76"/>
      <c r="E59" s="76"/>
      <c r="F59" s="76"/>
      <c r="G59" s="76"/>
      <c r="H59" s="76"/>
      <c r="I59" s="76"/>
      <c r="J59" s="214"/>
      <c r="K59" s="378">
        <f t="shared" si="1"/>
        <v>0</v>
      </c>
      <c r="L59" s="378"/>
      <c r="M59" s="257" t="str">
        <f t="shared" si="2"/>
        <v/>
      </c>
      <c r="N59" s="407">
        <f>IF($E$29&gt;41,$F$29,0)</f>
        <v>0</v>
      </c>
      <c r="O59" s="407"/>
      <c r="P59" s="380"/>
      <c r="Q59" s="381"/>
      <c r="T59" s="396" t="s">
        <v>179</v>
      </c>
      <c r="U59" s="396"/>
      <c r="W59" s="257">
        <f t="shared" ca="1" si="3"/>
        <v>47213</v>
      </c>
    </row>
    <row r="60" spans="1:23" s="91" customFormat="1" hidden="1" x14ac:dyDescent="0.3">
      <c r="A60" s="76"/>
      <c r="C60" s="288"/>
      <c r="D60" s="417"/>
      <c r="E60" s="417"/>
      <c r="F60" s="417"/>
      <c r="G60" s="76"/>
      <c r="H60" s="76"/>
      <c r="I60" s="76"/>
      <c r="J60" s="214"/>
      <c r="K60" s="378">
        <f t="shared" si="1"/>
        <v>0</v>
      </c>
      <c r="L60" s="378"/>
      <c r="M60" s="257" t="str">
        <f t="shared" si="2"/>
        <v/>
      </c>
      <c r="N60" s="407">
        <f>IF($E$29&gt;42,$F$29,0)</f>
        <v>0</v>
      </c>
      <c r="O60" s="407"/>
      <c r="P60" s="380"/>
      <c r="Q60" s="381"/>
      <c r="T60" s="396" t="s">
        <v>180</v>
      </c>
      <c r="U60" s="396"/>
      <c r="W60" s="257">
        <f t="shared" ca="1" si="3"/>
        <v>47243</v>
      </c>
    </row>
    <row r="61" spans="1:23" s="91" customFormat="1" hidden="1" x14ac:dyDescent="0.3">
      <c r="A61" s="76"/>
      <c r="B61" s="288"/>
      <c r="C61" s="76"/>
      <c r="D61" s="289"/>
      <c r="E61" s="289"/>
      <c r="F61" s="76"/>
      <c r="G61" s="76"/>
      <c r="H61" s="76"/>
      <c r="I61" s="76"/>
      <c r="J61" s="214"/>
      <c r="K61" s="378">
        <f t="shared" si="1"/>
        <v>0</v>
      </c>
      <c r="L61" s="378"/>
      <c r="M61" s="257" t="str">
        <f t="shared" si="2"/>
        <v/>
      </c>
      <c r="N61" s="407">
        <f>IF($E$29&gt;43,$F$29,0)</f>
        <v>0</v>
      </c>
      <c r="O61" s="407"/>
      <c r="P61" s="380"/>
      <c r="Q61" s="381"/>
      <c r="T61" s="396" t="s">
        <v>181</v>
      </c>
      <c r="U61" s="396"/>
      <c r="W61" s="257">
        <f t="shared" ca="1" si="3"/>
        <v>47274</v>
      </c>
    </row>
    <row r="62" spans="1:23" s="91" customFormat="1" hidden="1" x14ac:dyDescent="0.3">
      <c r="A62" s="76"/>
      <c r="B62" s="288"/>
      <c r="C62" s="76"/>
      <c r="D62" s="289"/>
      <c r="E62" s="289"/>
      <c r="F62" s="76"/>
      <c r="G62" s="76"/>
      <c r="H62" s="76"/>
      <c r="I62" s="76"/>
      <c r="J62" s="214"/>
      <c r="K62" s="378">
        <f t="shared" si="1"/>
        <v>0</v>
      </c>
      <c r="L62" s="378"/>
      <c r="M62" s="257" t="str">
        <f t="shared" si="2"/>
        <v/>
      </c>
      <c r="N62" s="407">
        <f>IF($E$29&gt;44,$F$29,0)</f>
        <v>0</v>
      </c>
      <c r="O62" s="407"/>
      <c r="P62" s="127"/>
      <c r="Q62" s="127"/>
      <c r="T62" s="396" t="s">
        <v>182</v>
      </c>
      <c r="U62" s="396"/>
      <c r="W62" s="257">
        <f ca="1">IF(AND(DAY(W61)&gt;=6,DAY(W61)&lt;=20),DATE(YEAR(W61),MONTH(W61)+1,DAY(20)),IF(AND(DAY(W61)&gt;=21,DAY(W61)&lt;=30),DATE(YEAR(W61),MONTH(W61)+1,IF(DAY(EOMONTH(W61,1))&lt;30,DAY(EOMONTH(W61,1)),DAY(30))),DATE(YEAR(W61),MONTH(W61)+1,DAY(5))))</f>
        <v>47304</v>
      </c>
    </row>
    <row r="63" spans="1:23" s="91" customFormat="1" hidden="1" x14ac:dyDescent="0.3">
      <c r="A63" s="76"/>
      <c r="B63" s="288"/>
      <c r="C63" s="76"/>
      <c r="D63" s="289"/>
      <c r="E63" s="289"/>
      <c r="F63" s="76"/>
      <c r="G63" s="76"/>
      <c r="H63" s="76"/>
      <c r="I63" s="76"/>
      <c r="J63" s="214"/>
      <c r="K63" s="380">
        <f t="shared" si="1"/>
        <v>0</v>
      </c>
      <c r="L63" s="381"/>
      <c r="M63" s="257" t="str">
        <f t="shared" si="2"/>
        <v/>
      </c>
      <c r="N63" s="415">
        <f>IF($E$29&gt;45,$F$29,0)</f>
        <v>0</v>
      </c>
      <c r="O63" s="416"/>
      <c r="P63" s="127"/>
      <c r="Q63" s="127"/>
      <c r="T63" s="396" t="s">
        <v>183</v>
      </c>
      <c r="U63" s="396"/>
    </row>
    <row r="64" spans="1:23" s="91" customFormat="1" x14ac:dyDescent="0.3">
      <c r="A64" s="76"/>
      <c r="B64" s="288"/>
      <c r="C64" s="76"/>
      <c r="D64" s="289"/>
      <c r="E64" s="289"/>
      <c r="F64" s="76"/>
      <c r="G64" s="76"/>
      <c r="H64" s="76"/>
      <c r="I64" s="76"/>
      <c r="J64" s="214"/>
      <c r="K64" s="424" t="s">
        <v>184</v>
      </c>
      <c r="L64" s="424"/>
      <c r="M64" s="290">
        <f ca="1">IF(DAY(W17)=31,Y19,AA19)</f>
        <v>46147</v>
      </c>
      <c r="N64" s="425">
        <f>F31</f>
        <v>10633237.824000001</v>
      </c>
      <c r="O64" s="425"/>
      <c r="P64" s="426"/>
      <c r="Q64" s="427"/>
    </row>
    <row r="65" spans="1:17" s="91" customFormat="1" x14ac:dyDescent="0.3">
      <c r="A65" s="76"/>
      <c r="B65" s="288"/>
      <c r="C65" s="76"/>
      <c r="D65" s="289"/>
      <c r="E65" s="289"/>
      <c r="F65" s="76"/>
      <c r="G65" s="76"/>
      <c r="H65" s="76"/>
      <c r="I65" s="76"/>
      <c r="J65" s="214"/>
      <c r="K65" s="428"/>
      <c r="L65" s="428"/>
      <c r="M65" s="210"/>
      <c r="N65" s="429"/>
      <c r="O65" s="429"/>
      <c r="P65" s="291"/>
      <c r="Q65" s="79"/>
    </row>
    <row r="66" spans="1:17" s="91" customFormat="1" x14ac:dyDescent="0.3">
      <c r="A66" s="76"/>
      <c r="J66" s="214"/>
      <c r="L66" s="93"/>
    </row>
    <row r="67" spans="1:17" s="91" customFormat="1" ht="12" customHeight="1" x14ac:dyDescent="0.3">
      <c r="A67" s="76"/>
      <c r="B67" s="79" t="s">
        <v>185</v>
      </c>
      <c r="C67" s="76"/>
      <c r="D67" s="76"/>
      <c r="E67" s="76"/>
      <c r="F67" s="79" t="s">
        <v>186</v>
      </c>
      <c r="G67" s="76"/>
      <c r="H67" s="76"/>
      <c r="I67" s="76"/>
      <c r="J67" s="214"/>
      <c r="K67" s="79" t="s">
        <v>185</v>
      </c>
      <c r="L67" s="76"/>
      <c r="M67" s="76"/>
      <c r="N67" s="76"/>
      <c r="O67" s="79" t="s">
        <v>186</v>
      </c>
      <c r="P67" s="76"/>
      <c r="Q67" s="76"/>
    </row>
    <row r="68" spans="1:17" s="91" customFormat="1" ht="12" customHeight="1" x14ac:dyDescent="0.3">
      <c r="A68" s="76"/>
      <c r="B68" s="76"/>
      <c r="C68" s="76"/>
      <c r="D68" s="88"/>
      <c r="E68" s="76"/>
      <c r="F68" s="76"/>
      <c r="G68" s="76"/>
      <c r="H68" s="76"/>
      <c r="I68" s="76"/>
      <c r="J68" s="214"/>
      <c r="K68" s="76"/>
      <c r="L68" s="76"/>
      <c r="M68" s="88"/>
      <c r="N68" s="76"/>
      <c r="O68" s="76"/>
      <c r="P68" s="76"/>
      <c r="Q68" s="76"/>
    </row>
    <row r="69" spans="1:17" s="91" customFormat="1" ht="12" customHeight="1" x14ac:dyDescent="0.3">
      <c r="A69" s="76"/>
      <c r="B69" s="76"/>
      <c r="C69" s="76"/>
      <c r="D69" s="88"/>
      <c r="E69" s="76"/>
      <c r="F69" s="76"/>
      <c r="G69" s="76"/>
      <c r="H69" s="76"/>
      <c r="I69" s="76"/>
      <c r="J69" s="214"/>
      <c r="K69" s="76"/>
      <c r="L69" s="76"/>
      <c r="M69" s="88"/>
      <c r="N69" s="76"/>
      <c r="O69" s="76"/>
      <c r="P69" s="76"/>
      <c r="Q69" s="76"/>
    </row>
    <row r="70" spans="1:17" s="91" customFormat="1" ht="12" customHeight="1" x14ac:dyDescent="0.3">
      <c r="A70" s="76"/>
      <c r="B70" s="420"/>
      <c r="C70" s="420"/>
      <c r="D70" s="420"/>
      <c r="E70" s="79"/>
      <c r="F70" s="292">
        <f>[3]FORM!I28</f>
        <v>0</v>
      </c>
      <c r="G70" s="292"/>
      <c r="H70" s="292"/>
      <c r="I70" s="292"/>
      <c r="J70" s="214"/>
      <c r="K70" s="420">
        <f>B70</f>
        <v>0</v>
      </c>
      <c r="L70" s="420"/>
      <c r="M70" s="420"/>
      <c r="N70" s="79"/>
      <c r="O70" s="421"/>
      <c r="P70" s="421"/>
      <c r="Q70" s="421"/>
    </row>
    <row r="71" spans="1:17" s="91" customFormat="1" ht="12" customHeight="1" x14ac:dyDescent="0.3">
      <c r="A71" s="76"/>
      <c r="B71" s="90" t="s">
        <v>187</v>
      </c>
      <c r="C71" s="293"/>
      <c r="D71" s="293"/>
      <c r="E71" s="76"/>
      <c r="F71" s="294" t="s">
        <v>188</v>
      </c>
      <c r="G71" s="294"/>
      <c r="H71" s="294"/>
      <c r="I71" s="89"/>
      <c r="J71" s="214"/>
      <c r="K71" s="90" t="s">
        <v>187</v>
      </c>
      <c r="L71" s="422"/>
      <c r="M71" s="422"/>
      <c r="N71" s="76"/>
      <c r="O71" s="423" t="s">
        <v>188</v>
      </c>
      <c r="P71" s="423"/>
      <c r="Q71" s="423"/>
    </row>
    <row r="72" spans="1:17" s="91" customFormat="1" ht="12" customHeight="1" x14ac:dyDescent="0.3">
      <c r="A72" s="76"/>
      <c r="B72" s="223"/>
      <c r="C72" s="76"/>
      <c r="D72" s="76"/>
      <c r="E72" s="76"/>
      <c r="F72" s="76"/>
      <c r="G72" s="76"/>
      <c r="H72" s="76"/>
      <c r="I72" s="76"/>
      <c r="J72" s="214"/>
    </row>
    <row r="73" spans="1:17" s="91" customFormat="1" ht="12" customHeight="1" x14ac:dyDescent="0.3">
      <c r="A73" s="76"/>
      <c r="B73" s="223"/>
      <c r="C73" s="76"/>
      <c r="D73" s="76"/>
      <c r="E73" s="76"/>
      <c r="F73" s="76"/>
      <c r="G73" s="76"/>
      <c r="H73" s="76"/>
      <c r="I73" s="76"/>
      <c r="J73" s="214"/>
      <c r="K73" s="157"/>
      <c r="L73" s="76"/>
      <c r="M73" s="78"/>
      <c r="N73" s="76"/>
      <c r="O73" s="76"/>
      <c r="P73" s="76"/>
      <c r="Q73" s="76"/>
    </row>
    <row r="74" spans="1:17" s="91" customFormat="1" ht="12" customHeight="1" x14ac:dyDescent="0.3">
      <c r="A74" s="76"/>
      <c r="B74" s="223"/>
      <c r="C74" s="76"/>
      <c r="D74" s="76"/>
      <c r="E74" s="76"/>
      <c r="F74" s="76"/>
      <c r="G74" s="76"/>
      <c r="H74" s="76"/>
      <c r="I74" s="76"/>
      <c r="J74" s="214"/>
      <c r="K74" s="157"/>
      <c r="L74" s="76"/>
      <c r="M74" s="78"/>
      <c r="N74" s="76"/>
      <c r="O74" s="76"/>
      <c r="P74" s="76"/>
      <c r="Q74" s="76"/>
    </row>
    <row r="75" spans="1:17" s="91" customFormat="1" ht="12" customHeight="1" x14ac:dyDescent="0.3">
      <c r="A75" s="76"/>
      <c r="B75" s="223"/>
      <c r="C75" s="76"/>
      <c r="D75" s="76"/>
      <c r="E75" s="76"/>
      <c r="F75" s="76"/>
      <c r="G75" s="76"/>
      <c r="H75" s="76"/>
      <c r="I75" s="76"/>
      <c r="J75" s="214"/>
      <c r="K75" s="157"/>
      <c r="L75" s="76"/>
      <c r="M75" s="78"/>
      <c r="N75" s="76"/>
      <c r="O75" s="76"/>
      <c r="P75" s="76"/>
      <c r="Q75" s="76"/>
    </row>
    <row r="76" spans="1:17" s="91" customFormat="1" ht="12" customHeight="1" x14ac:dyDescent="0.3">
      <c r="A76" s="76"/>
      <c r="B76" s="223"/>
      <c r="C76" s="76"/>
      <c r="D76" s="88"/>
      <c r="E76" s="76"/>
      <c r="F76" s="76"/>
      <c r="G76" s="76"/>
      <c r="H76" s="76"/>
      <c r="I76" s="76"/>
      <c r="J76" s="214"/>
      <c r="K76" s="157"/>
      <c r="L76" s="76"/>
      <c r="M76" s="78"/>
      <c r="N76" s="76"/>
      <c r="O76" s="76"/>
      <c r="P76" s="76"/>
      <c r="Q76" s="76"/>
    </row>
    <row r="77" spans="1:17" s="91" customFormat="1" ht="12" customHeight="1" x14ac:dyDescent="0.3">
      <c r="A77" s="76"/>
      <c r="B77" s="223"/>
      <c r="C77" s="76"/>
      <c r="D77" s="88"/>
      <c r="E77" s="76"/>
      <c r="F77" s="76"/>
      <c r="G77" s="76"/>
      <c r="H77" s="76"/>
      <c r="I77" s="76"/>
      <c r="J77" s="214"/>
      <c r="K77" s="157"/>
      <c r="L77" s="76"/>
      <c r="M77" s="78"/>
      <c r="N77" s="76"/>
      <c r="O77" s="76"/>
      <c r="P77" s="76"/>
      <c r="Q77" s="76"/>
    </row>
    <row r="78" spans="1:17" s="91" customFormat="1" ht="12" customHeight="1" x14ac:dyDescent="0.3">
      <c r="A78" s="76"/>
      <c r="B78" s="223"/>
      <c r="C78" s="76"/>
      <c r="D78" s="88"/>
      <c r="E78" s="76"/>
      <c r="F78" s="76"/>
      <c r="G78" s="76"/>
      <c r="H78" s="76"/>
      <c r="I78" s="76"/>
      <c r="J78" s="214"/>
      <c r="K78" s="157"/>
      <c r="L78" s="76"/>
      <c r="M78" s="78"/>
      <c r="N78" s="76"/>
      <c r="O78" s="76"/>
      <c r="P78" s="76"/>
      <c r="Q78" s="76"/>
    </row>
    <row r="79" spans="1:17" s="91" customFormat="1" ht="12" customHeight="1" x14ac:dyDescent="0.3">
      <c r="A79" s="76"/>
      <c r="B79" s="223"/>
      <c r="C79" s="76"/>
      <c r="D79" s="76"/>
      <c r="E79" s="76"/>
      <c r="F79" s="76"/>
      <c r="G79" s="76"/>
      <c r="H79" s="76"/>
      <c r="I79" s="76"/>
      <c r="J79" s="214"/>
      <c r="K79" s="157"/>
      <c r="L79" s="76"/>
      <c r="M79" s="78"/>
      <c r="N79" s="76"/>
      <c r="O79" s="76"/>
      <c r="P79" s="76"/>
      <c r="Q79" s="76"/>
    </row>
    <row r="80" spans="1:17" s="91" customFormat="1" ht="12" customHeight="1" x14ac:dyDescent="0.3">
      <c r="A80" s="76"/>
      <c r="B80" s="223"/>
      <c r="C80" s="76"/>
      <c r="D80" s="76"/>
      <c r="E80" s="76"/>
      <c r="F80" s="76"/>
      <c r="G80" s="76"/>
      <c r="H80" s="76"/>
      <c r="I80" s="76"/>
      <c r="J80" s="214"/>
      <c r="K80" s="157"/>
      <c r="L80" s="76"/>
      <c r="M80" s="78"/>
      <c r="N80" s="76"/>
      <c r="O80" s="76"/>
      <c r="P80" s="76"/>
      <c r="Q80" s="76"/>
    </row>
    <row r="81" spans="1:17" s="91" customFormat="1" ht="12" customHeight="1" x14ac:dyDescent="0.3">
      <c r="A81" s="76"/>
      <c r="B81" s="223"/>
      <c r="C81" s="76"/>
      <c r="D81" s="76"/>
      <c r="E81" s="76"/>
      <c r="F81" s="76"/>
      <c r="G81" s="76"/>
      <c r="H81" s="76"/>
      <c r="I81" s="76"/>
      <c r="J81" s="214"/>
      <c r="K81" s="157"/>
      <c r="L81" s="76"/>
      <c r="M81" s="78"/>
      <c r="N81" s="76"/>
      <c r="O81" s="76"/>
      <c r="P81" s="76"/>
      <c r="Q81" s="76"/>
    </row>
    <row r="82" spans="1:17" s="91" customFormat="1" ht="12" customHeight="1" x14ac:dyDescent="0.3">
      <c r="A82" s="76"/>
      <c r="B82" s="223"/>
      <c r="C82" s="76"/>
      <c r="D82" s="76"/>
      <c r="E82" s="76"/>
      <c r="F82" s="76"/>
      <c r="G82" s="76"/>
      <c r="H82" s="76"/>
      <c r="I82" s="76"/>
      <c r="J82" s="214"/>
      <c r="K82" s="157"/>
      <c r="L82" s="76"/>
      <c r="M82" s="78"/>
      <c r="N82" s="76"/>
      <c r="O82" s="76"/>
      <c r="P82" s="76"/>
      <c r="Q82" s="76"/>
    </row>
    <row r="83" spans="1:17" s="91" customFormat="1" ht="12" customHeight="1" x14ac:dyDescent="0.3">
      <c r="A83" s="76"/>
      <c r="B83" s="223"/>
      <c r="C83" s="76"/>
      <c r="D83" s="76"/>
      <c r="E83" s="76"/>
      <c r="F83" s="76"/>
      <c r="G83" s="76"/>
      <c r="H83" s="76"/>
      <c r="I83" s="76"/>
      <c r="J83" s="214"/>
      <c r="K83" s="157"/>
      <c r="L83" s="76"/>
      <c r="M83" s="78"/>
      <c r="N83" s="76"/>
      <c r="O83" s="76"/>
      <c r="P83" s="76"/>
      <c r="Q83" s="76"/>
    </row>
    <row r="84" spans="1:17" s="91" customFormat="1" ht="12" customHeight="1" x14ac:dyDescent="0.3">
      <c r="A84" s="76"/>
      <c r="B84" s="223"/>
      <c r="C84" s="76"/>
      <c r="D84" s="76"/>
      <c r="E84" s="76"/>
      <c r="F84" s="76"/>
      <c r="G84" s="76"/>
      <c r="H84" s="76"/>
      <c r="I84" s="76"/>
      <c r="J84" s="214"/>
      <c r="K84" s="157"/>
      <c r="L84" s="76"/>
      <c r="M84" s="78"/>
      <c r="N84" s="76"/>
      <c r="O84" s="76"/>
      <c r="P84" s="76"/>
      <c r="Q84" s="76"/>
    </row>
    <row r="85" spans="1:17" s="91" customFormat="1" ht="12" customHeight="1" x14ac:dyDescent="0.3">
      <c r="A85" s="76"/>
      <c r="B85" s="223"/>
      <c r="C85" s="76"/>
      <c r="D85" s="76"/>
      <c r="E85" s="76"/>
      <c r="F85" s="76"/>
      <c r="G85" s="76"/>
      <c r="H85" s="76"/>
      <c r="I85" s="76"/>
      <c r="J85" s="214"/>
      <c r="K85" s="157"/>
      <c r="L85" s="76"/>
      <c r="M85" s="78"/>
      <c r="N85" s="76"/>
      <c r="O85" s="76"/>
      <c r="P85" s="76"/>
      <c r="Q85" s="76"/>
    </row>
    <row r="86" spans="1:17" s="91" customFormat="1" ht="12" customHeight="1" x14ac:dyDescent="0.3">
      <c r="A86" s="76"/>
      <c r="B86" s="223"/>
      <c r="C86" s="76"/>
      <c r="D86" s="76"/>
      <c r="E86" s="76"/>
      <c r="F86" s="76"/>
      <c r="G86" s="76"/>
      <c r="H86" s="76"/>
      <c r="I86" s="76"/>
      <c r="J86" s="214"/>
      <c r="K86" s="157"/>
      <c r="L86" s="76"/>
      <c r="M86" s="78"/>
      <c r="N86" s="76"/>
      <c r="O86" s="76"/>
      <c r="P86" s="76"/>
      <c r="Q86" s="76"/>
    </row>
    <row r="87" spans="1:17" s="91" customFormat="1" ht="12" customHeight="1" x14ac:dyDescent="0.3">
      <c r="A87" s="76"/>
      <c r="B87" s="223"/>
      <c r="C87" s="76"/>
      <c r="D87" s="76"/>
      <c r="E87" s="76"/>
      <c r="F87" s="76"/>
      <c r="G87" s="76"/>
      <c r="H87" s="76"/>
      <c r="I87" s="76"/>
      <c r="J87" s="214"/>
      <c r="K87" s="157"/>
      <c r="L87" s="76"/>
      <c r="M87" s="78"/>
      <c r="N87" s="76"/>
      <c r="O87" s="76"/>
      <c r="P87" s="76"/>
      <c r="Q87" s="76"/>
    </row>
    <row r="88" spans="1:17" s="91" customFormat="1" x14ac:dyDescent="0.3">
      <c r="A88" s="76"/>
      <c r="B88" s="223"/>
      <c r="C88" s="76"/>
      <c r="D88" s="76"/>
      <c r="E88" s="76"/>
      <c r="F88" s="76"/>
      <c r="G88" s="76"/>
      <c r="H88" s="76"/>
      <c r="I88" s="76"/>
      <c r="J88" s="214"/>
      <c r="K88" s="157"/>
      <c r="L88" s="76"/>
      <c r="M88" s="78"/>
      <c r="N88" s="76"/>
      <c r="O88" s="76"/>
      <c r="P88" s="76"/>
      <c r="Q88" s="76"/>
    </row>
    <row r="89" spans="1:17" s="91" customFormat="1" ht="12" customHeight="1" x14ac:dyDescent="0.3">
      <c r="A89" s="76"/>
      <c r="B89" s="223"/>
      <c r="C89" s="76"/>
      <c r="D89" s="76"/>
      <c r="E89" s="76"/>
      <c r="F89" s="76"/>
      <c r="G89" s="76"/>
      <c r="H89" s="76"/>
      <c r="I89" s="76"/>
      <c r="J89" s="214"/>
      <c r="K89" s="157"/>
      <c r="L89" s="76"/>
      <c r="M89" s="78"/>
      <c r="N89" s="76"/>
      <c r="O89" s="76"/>
      <c r="P89" s="76"/>
      <c r="Q89" s="76"/>
    </row>
    <row r="90" spans="1:17" s="91" customFormat="1" ht="12" customHeight="1" x14ac:dyDescent="0.3">
      <c r="A90" s="76"/>
      <c r="B90" s="223"/>
      <c r="C90" s="76"/>
      <c r="D90" s="76"/>
      <c r="E90" s="76"/>
      <c r="F90" s="76"/>
      <c r="G90" s="76"/>
      <c r="H90" s="76"/>
      <c r="I90" s="76"/>
      <c r="J90" s="214"/>
      <c r="K90" s="157"/>
      <c r="L90" s="76"/>
      <c r="M90" s="78"/>
      <c r="N90" s="76"/>
      <c r="O90" s="76"/>
      <c r="P90" s="76"/>
      <c r="Q90" s="76"/>
    </row>
    <row r="91" spans="1:17" s="91" customFormat="1" ht="12" customHeight="1" x14ac:dyDescent="0.3">
      <c r="A91" s="76"/>
      <c r="B91" s="223"/>
      <c r="C91" s="76"/>
      <c r="D91" s="76"/>
      <c r="E91" s="76"/>
      <c r="F91" s="76"/>
      <c r="G91" s="76"/>
      <c r="H91" s="76"/>
      <c r="I91" s="76"/>
      <c r="J91" s="214"/>
      <c r="K91" s="157"/>
      <c r="L91" s="76"/>
      <c r="M91" s="78"/>
      <c r="N91" s="76"/>
      <c r="O91" s="76"/>
      <c r="P91" s="76"/>
      <c r="Q91" s="76"/>
    </row>
    <row r="92" spans="1:17" s="91" customFormat="1" ht="12" customHeight="1" x14ac:dyDescent="0.3">
      <c r="A92" s="76"/>
      <c r="B92" s="223"/>
      <c r="C92" s="76"/>
      <c r="D92" s="76"/>
      <c r="E92" s="76"/>
      <c r="F92" s="76"/>
      <c r="G92" s="76"/>
      <c r="H92" s="76"/>
      <c r="I92" s="76"/>
      <c r="J92" s="214"/>
      <c r="K92" s="157"/>
      <c r="L92" s="76"/>
      <c r="M92" s="78"/>
      <c r="N92" s="76"/>
      <c r="O92" s="76"/>
      <c r="P92" s="76"/>
      <c r="Q92" s="76"/>
    </row>
    <row r="93" spans="1:17" s="91" customFormat="1" ht="12" customHeight="1" x14ac:dyDescent="0.3">
      <c r="A93" s="76"/>
      <c r="B93" s="223"/>
      <c r="C93" s="76"/>
      <c r="D93" s="76"/>
      <c r="E93" s="76"/>
      <c r="F93" s="76"/>
      <c r="G93" s="76"/>
      <c r="H93" s="76"/>
      <c r="I93" s="76"/>
      <c r="J93" s="214"/>
      <c r="K93" s="157"/>
      <c r="L93" s="76"/>
      <c r="M93" s="78"/>
      <c r="N93" s="76"/>
      <c r="O93" s="76"/>
      <c r="P93" s="76"/>
      <c r="Q93" s="76"/>
    </row>
    <row r="94" spans="1:17" s="91" customFormat="1" ht="12" customHeight="1" x14ac:dyDescent="0.3">
      <c r="A94" s="76"/>
      <c r="B94" s="223"/>
      <c r="C94" s="76"/>
      <c r="D94" s="76"/>
      <c r="E94" s="76"/>
      <c r="F94" s="76"/>
      <c r="G94" s="76"/>
      <c r="H94" s="76"/>
      <c r="I94" s="76"/>
      <c r="J94" s="214"/>
      <c r="K94" s="157"/>
      <c r="L94" s="76"/>
      <c r="M94" s="78"/>
      <c r="N94" s="76"/>
      <c r="O94" s="76"/>
      <c r="P94" s="76"/>
      <c r="Q94" s="76"/>
    </row>
    <row r="95" spans="1:17" s="91" customFormat="1" ht="12" customHeight="1" x14ac:dyDescent="0.3">
      <c r="A95" s="76"/>
      <c r="B95" s="223"/>
      <c r="C95" s="76"/>
      <c r="D95" s="76"/>
      <c r="E95" s="76"/>
      <c r="F95" s="76"/>
      <c r="G95" s="76"/>
      <c r="H95" s="76"/>
      <c r="I95" s="76"/>
      <c r="J95" s="214"/>
      <c r="K95" s="157"/>
      <c r="L95" s="76"/>
      <c r="M95" s="78"/>
      <c r="N95" s="76"/>
      <c r="O95" s="76"/>
      <c r="P95" s="76"/>
      <c r="Q95" s="76"/>
    </row>
    <row r="96" spans="1:17" s="91" customFormat="1" ht="12" customHeight="1" x14ac:dyDescent="0.3">
      <c r="A96" s="76"/>
      <c r="B96" s="223"/>
      <c r="C96" s="76"/>
      <c r="D96" s="76"/>
      <c r="E96" s="76"/>
      <c r="F96" s="76"/>
      <c r="G96" s="76"/>
      <c r="H96" s="76"/>
      <c r="I96" s="76"/>
      <c r="J96" s="214"/>
      <c r="K96" s="157"/>
      <c r="L96" s="76"/>
      <c r="M96" s="78"/>
      <c r="N96" s="76"/>
      <c r="O96" s="76"/>
      <c r="P96" s="76"/>
      <c r="Q96" s="76"/>
    </row>
    <row r="97" spans="1:17" s="91" customFormat="1" ht="12" customHeight="1" x14ac:dyDescent="0.3">
      <c r="A97" s="76"/>
      <c r="B97" s="223"/>
      <c r="C97" s="76"/>
      <c r="D97" s="76"/>
      <c r="E97" s="76"/>
      <c r="F97" s="76"/>
      <c r="G97" s="76"/>
      <c r="H97" s="76"/>
      <c r="I97" s="76"/>
      <c r="J97" s="214"/>
      <c r="K97" s="157"/>
      <c r="L97" s="76"/>
      <c r="M97" s="78"/>
      <c r="N97" s="76"/>
      <c r="O97" s="76"/>
      <c r="P97" s="76"/>
      <c r="Q97" s="76"/>
    </row>
    <row r="98" spans="1:17" s="91" customFormat="1" ht="12" customHeight="1" x14ac:dyDescent="0.3">
      <c r="A98" s="76"/>
      <c r="B98" s="223"/>
      <c r="C98" s="76"/>
      <c r="D98" s="76"/>
      <c r="E98" s="76"/>
      <c r="F98" s="76"/>
      <c r="G98" s="76"/>
      <c r="H98" s="76"/>
      <c r="I98" s="76"/>
      <c r="J98" s="214"/>
      <c r="K98" s="157"/>
      <c r="L98" s="76"/>
      <c r="M98" s="78"/>
      <c r="N98" s="76"/>
      <c r="O98" s="76"/>
      <c r="P98" s="76"/>
      <c r="Q98" s="76"/>
    </row>
    <row r="99" spans="1:17" s="91" customFormat="1" ht="12" customHeight="1" x14ac:dyDescent="0.3">
      <c r="A99" s="76"/>
      <c r="B99" s="223"/>
      <c r="C99" s="76"/>
      <c r="D99" s="76"/>
      <c r="E99" s="76"/>
      <c r="F99" s="76"/>
      <c r="G99" s="76"/>
      <c r="H99" s="76"/>
      <c r="I99" s="76"/>
      <c r="J99" s="214"/>
      <c r="K99" s="157"/>
      <c r="L99" s="76"/>
      <c r="M99" s="78"/>
      <c r="N99" s="76"/>
      <c r="O99" s="76"/>
      <c r="P99" s="76"/>
      <c r="Q99" s="76"/>
    </row>
    <row r="100" spans="1:17" s="91" customFormat="1" ht="12" customHeight="1" x14ac:dyDescent="0.3">
      <c r="A100" s="76"/>
      <c r="B100" s="223"/>
      <c r="C100" s="76"/>
      <c r="D100" s="76"/>
      <c r="E100" s="76"/>
      <c r="F100" s="76"/>
      <c r="G100" s="76"/>
      <c r="H100" s="76"/>
      <c r="I100" s="76"/>
      <c r="J100" s="214"/>
      <c r="K100" s="157"/>
      <c r="L100" s="76"/>
      <c r="M100" s="78"/>
      <c r="N100" s="76"/>
      <c r="O100" s="76"/>
      <c r="P100" s="76"/>
      <c r="Q100" s="76"/>
    </row>
    <row r="101" spans="1:17" s="91" customFormat="1" ht="12" customHeight="1" x14ac:dyDescent="0.3">
      <c r="A101" s="76"/>
      <c r="B101" s="223"/>
      <c r="C101" s="76"/>
      <c r="D101" s="76"/>
      <c r="E101" s="76"/>
      <c r="F101" s="76"/>
      <c r="G101" s="76"/>
      <c r="H101" s="76"/>
      <c r="I101" s="76"/>
      <c r="J101" s="214"/>
      <c r="K101" s="157"/>
      <c r="L101" s="76"/>
      <c r="M101" s="78"/>
      <c r="N101" s="76"/>
      <c r="O101" s="76"/>
      <c r="P101" s="76"/>
      <c r="Q101" s="76"/>
    </row>
    <row r="102" spans="1:17" s="91" customFormat="1" ht="12" customHeight="1" x14ac:dyDescent="0.3">
      <c r="A102" s="76"/>
      <c r="B102" s="223"/>
      <c r="C102" s="76"/>
      <c r="D102" s="76"/>
      <c r="E102" s="76"/>
      <c r="F102" s="76"/>
      <c r="G102" s="76"/>
      <c r="H102" s="76"/>
      <c r="I102" s="76"/>
      <c r="J102" s="214"/>
      <c r="K102" s="157"/>
      <c r="L102" s="76"/>
      <c r="M102" s="78"/>
      <c r="N102" s="76"/>
      <c r="O102" s="76"/>
      <c r="P102" s="76"/>
      <c r="Q102" s="76"/>
    </row>
    <row r="103" spans="1:17" s="91" customFormat="1" ht="12" customHeight="1" x14ac:dyDescent="0.3">
      <c r="A103" s="76"/>
      <c r="B103" s="223"/>
      <c r="C103" s="76"/>
      <c r="D103" s="76"/>
      <c r="E103" s="76"/>
      <c r="F103" s="76"/>
      <c r="G103" s="76"/>
      <c r="H103" s="76"/>
      <c r="I103" s="76"/>
      <c r="J103" s="214"/>
      <c r="K103" s="157"/>
      <c r="L103" s="76"/>
      <c r="M103" s="78"/>
      <c r="N103" s="76"/>
      <c r="O103" s="76"/>
      <c r="P103" s="76"/>
      <c r="Q103" s="76"/>
    </row>
    <row r="104" spans="1:17" s="91" customFormat="1" ht="12" customHeight="1" x14ac:dyDescent="0.3">
      <c r="A104" s="76"/>
      <c r="B104" s="223"/>
      <c r="C104" s="76"/>
      <c r="D104" s="76"/>
      <c r="E104" s="76"/>
      <c r="F104" s="76"/>
      <c r="G104" s="76"/>
      <c r="H104" s="76"/>
      <c r="I104" s="76"/>
      <c r="J104" s="214"/>
      <c r="K104" s="157"/>
      <c r="L104" s="76"/>
      <c r="M104" s="78"/>
      <c r="N104" s="76"/>
      <c r="O104" s="76"/>
      <c r="P104" s="76"/>
      <c r="Q104" s="76"/>
    </row>
    <row r="105" spans="1:17" s="91" customFormat="1" ht="12" customHeight="1" x14ac:dyDescent="0.3">
      <c r="A105" s="76"/>
      <c r="B105" s="223"/>
      <c r="C105" s="76"/>
      <c r="D105" s="76"/>
      <c r="E105" s="76"/>
      <c r="F105" s="76"/>
      <c r="G105" s="76"/>
      <c r="H105" s="76"/>
      <c r="I105" s="76"/>
      <c r="J105" s="214"/>
      <c r="K105" s="157"/>
      <c r="L105" s="76"/>
      <c r="M105" s="78"/>
      <c r="N105" s="76"/>
      <c r="O105" s="76"/>
      <c r="P105" s="76"/>
      <c r="Q105" s="76"/>
    </row>
    <row r="106" spans="1:17" s="91" customFormat="1" ht="12" customHeight="1" x14ac:dyDescent="0.3">
      <c r="A106" s="76"/>
      <c r="B106" s="223"/>
      <c r="C106" s="76"/>
      <c r="D106" s="76"/>
      <c r="E106" s="76"/>
      <c r="F106" s="76"/>
      <c r="G106" s="76"/>
      <c r="H106" s="76"/>
      <c r="I106" s="76"/>
      <c r="J106" s="214"/>
      <c r="K106" s="157"/>
      <c r="L106" s="76"/>
      <c r="M106" s="78"/>
      <c r="N106" s="76"/>
      <c r="O106" s="76"/>
      <c r="P106" s="76"/>
      <c r="Q106" s="76"/>
    </row>
    <row r="107" spans="1:17" s="91" customFormat="1" ht="12" customHeight="1" x14ac:dyDescent="0.3">
      <c r="A107" s="76"/>
      <c r="B107" s="223"/>
      <c r="C107" s="76"/>
      <c r="D107" s="76"/>
      <c r="E107" s="76"/>
      <c r="F107" s="76"/>
      <c r="G107" s="76"/>
      <c r="H107" s="76"/>
      <c r="I107" s="76"/>
      <c r="J107" s="214"/>
      <c r="K107" s="157"/>
      <c r="L107" s="76"/>
      <c r="M107" s="78"/>
      <c r="N107" s="76"/>
      <c r="O107" s="76"/>
      <c r="P107" s="76"/>
      <c r="Q107" s="76"/>
    </row>
    <row r="108" spans="1:17" s="91" customFormat="1" ht="12" customHeight="1" x14ac:dyDescent="0.3">
      <c r="A108" s="76"/>
      <c r="B108" s="223"/>
      <c r="C108" s="76"/>
      <c r="D108" s="76"/>
      <c r="E108" s="76"/>
      <c r="F108" s="76"/>
      <c r="G108" s="76"/>
      <c r="H108" s="76"/>
      <c r="I108" s="76"/>
      <c r="J108" s="214"/>
      <c r="K108" s="157"/>
      <c r="L108" s="76"/>
      <c r="M108" s="78"/>
      <c r="N108" s="76"/>
      <c r="O108" s="76"/>
      <c r="P108" s="76"/>
      <c r="Q108" s="76"/>
    </row>
    <row r="109" spans="1:17" s="91" customFormat="1" ht="12" customHeight="1" x14ac:dyDescent="0.3">
      <c r="A109" s="76"/>
      <c r="B109" s="223"/>
      <c r="C109" s="76"/>
      <c r="D109" s="76"/>
      <c r="E109" s="76"/>
      <c r="F109" s="76"/>
      <c r="G109" s="76"/>
      <c r="H109" s="76"/>
      <c r="I109" s="76"/>
      <c r="J109" s="214"/>
      <c r="K109" s="157"/>
      <c r="L109" s="76"/>
      <c r="M109" s="78"/>
      <c r="N109" s="76"/>
      <c r="O109" s="76"/>
      <c r="P109" s="76"/>
      <c r="Q109" s="76"/>
    </row>
    <row r="110" spans="1:17" s="91" customFormat="1" ht="12" customHeight="1" x14ac:dyDescent="0.3">
      <c r="A110" s="76"/>
      <c r="B110" s="223"/>
      <c r="C110" s="76"/>
      <c r="D110" s="76"/>
      <c r="E110" s="76"/>
      <c r="F110" s="76"/>
      <c r="G110" s="76"/>
      <c r="H110" s="76"/>
      <c r="I110" s="76"/>
      <c r="J110" s="214"/>
      <c r="K110" s="157"/>
      <c r="L110" s="76"/>
      <c r="M110" s="78"/>
      <c r="N110" s="76"/>
      <c r="O110" s="76"/>
      <c r="P110" s="76"/>
      <c r="Q110" s="76"/>
    </row>
    <row r="111" spans="1:17" s="91" customFormat="1" ht="12" customHeight="1" x14ac:dyDescent="0.3">
      <c r="A111" s="76"/>
      <c r="B111" s="223"/>
      <c r="C111" s="76"/>
      <c r="D111" s="76"/>
      <c r="E111" s="76"/>
      <c r="F111" s="76"/>
      <c r="G111" s="76"/>
      <c r="H111" s="76"/>
      <c r="I111" s="76"/>
      <c r="J111" s="214"/>
      <c r="K111" s="157"/>
      <c r="L111" s="76"/>
      <c r="M111" s="78"/>
      <c r="N111" s="76"/>
      <c r="O111" s="76"/>
      <c r="P111" s="76"/>
      <c r="Q111" s="76"/>
    </row>
    <row r="112" spans="1:17" s="91" customFormat="1" ht="12" customHeight="1" x14ac:dyDescent="0.3">
      <c r="A112" s="76"/>
      <c r="B112" s="223"/>
      <c r="C112" s="76"/>
      <c r="D112" s="76"/>
      <c r="E112" s="76"/>
      <c r="F112" s="76"/>
      <c r="G112" s="76"/>
      <c r="H112" s="76"/>
      <c r="I112" s="76"/>
      <c r="J112" s="214"/>
      <c r="K112" s="157"/>
      <c r="L112" s="76"/>
      <c r="M112" s="78"/>
      <c r="N112" s="76"/>
      <c r="O112" s="76"/>
      <c r="P112" s="76"/>
      <c r="Q112" s="76"/>
    </row>
    <row r="113" spans="1:17" s="91" customFormat="1" ht="12" customHeight="1" x14ac:dyDescent="0.3">
      <c r="A113" s="76"/>
      <c r="B113" s="223"/>
      <c r="C113" s="76"/>
      <c r="D113" s="76"/>
      <c r="E113" s="76"/>
      <c r="F113" s="76"/>
      <c r="G113" s="76"/>
      <c r="H113" s="76"/>
      <c r="I113" s="76"/>
      <c r="J113" s="214"/>
      <c r="K113" s="157"/>
      <c r="L113" s="76"/>
      <c r="M113" s="78"/>
      <c r="N113" s="76"/>
      <c r="O113" s="76"/>
      <c r="P113" s="76"/>
      <c r="Q113" s="76"/>
    </row>
    <row r="114" spans="1:17" s="91" customFormat="1" ht="12" customHeight="1" x14ac:dyDescent="0.3">
      <c r="A114" s="76"/>
      <c r="B114" s="223"/>
      <c r="C114" s="76"/>
      <c r="D114" s="76"/>
      <c r="E114" s="76"/>
      <c r="F114" s="76"/>
      <c r="G114" s="76"/>
      <c r="H114" s="76"/>
      <c r="I114" s="76"/>
      <c r="J114" s="214"/>
      <c r="K114" s="157"/>
      <c r="L114" s="76"/>
      <c r="M114" s="78"/>
      <c r="N114" s="76"/>
      <c r="O114" s="76"/>
      <c r="P114" s="76"/>
      <c r="Q114" s="76"/>
    </row>
    <row r="115" spans="1:17" s="91" customFormat="1" ht="12" customHeight="1" x14ac:dyDescent="0.3">
      <c r="A115" s="76"/>
      <c r="B115" s="223"/>
      <c r="C115" s="76"/>
      <c r="D115" s="76"/>
      <c r="E115" s="76"/>
      <c r="F115" s="76"/>
      <c r="G115" s="76"/>
      <c r="H115" s="76"/>
      <c r="I115" s="76"/>
      <c r="J115" s="214"/>
      <c r="K115" s="157"/>
      <c r="L115" s="76"/>
      <c r="M115" s="78"/>
      <c r="N115" s="76"/>
      <c r="O115" s="76"/>
      <c r="P115" s="76"/>
      <c r="Q115" s="76"/>
    </row>
    <row r="116" spans="1:17" s="91" customFormat="1" ht="12" customHeight="1" x14ac:dyDescent="0.3">
      <c r="A116" s="76"/>
      <c r="B116" s="223"/>
      <c r="C116" s="76"/>
      <c r="D116" s="76"/>
      <c r="E116" s="76"/>
      <c r="F116" s="76"/>
      <c r="G116" s="76"/>
      <c r="H116" s="76"/>
      <c r="I116" s="76"/>
      <c r="J116" s="214"/>
      <c r="K116" s="157"/>
      <c r="L116" s="76"/>
      <c r="M116" s="78"/>
      <c r="N116" s="76"/>
      <c r="O116" s="76"/>
      <c r="P116" s="76"/>
      <c r="Q116" s="76"/>
    </row>
    <row r="117" spans="1:17" s="91" customFormat="1" ht="12" customHeight="1" x14ac:dyDescent="0.3">
      <c r="A117" s="76"/>
      <c r="B117" s="223"/>
      <c r="C117" s="76"/>
      <c r="D117" s="76"/>
      <c r="E117" s="76"/>
      <c r="F117" s="76"/>
      <c r="G117" s="76"/>
      <c r="H117" s="76"/>
      <c r="I117" s="76"/>
      <c r="J117" s="214"/>
      <c r="K117" s="157"/>
      <c r="L117" s="76"/>
      <c r="M117" s="78"/>
      <c r="N117" s="76"/>
      <c r="O117" s="76"/>
      <c r="P117" s="76"/>
      <c r="Q117" s="76"/>
    </row>
    <row r="118" spans="1:17" s="91" customFormat="1" ht="12" customHeight="1" x14ac:dyDescent="0.3">
      <c r="A118" s="76"/>
      <c r="B118" s="223"/>
      <c r="C118" s="76"/>
      <c r="D118" s="76"/>
      <c r="E118" s="76"/>
      <c r="F118" s="76"/>
      <c r="G118" s="76"/>
      <c r="H118" s="76"/>
      <c r="I118" s="76"/>
      <c r="J118" s="214"/>
      <c r="K118" s="157"/>
      <c r="L118" s="76"/>
      <c r="M118" s="78"/>
      <c r="N118" s="76"/>
      <c r="O118" s="76"/>
      <c r="P118" s="76"/>
      <c r="Q118" s="76"/>
    </row>
    <row r="119" spans="1:17" s="91" customFormat="1" ht="12" customHeight="1" x14ac:dyDescent="0.3">
      <c r="A119" s="76"/>
      <c r="B119" s="223"/>
      <c r="C119" s="76"/>
      <c r="D119" s="76"/>
      <c r="E119" s="76"/>
      <c r="F119" s="76"/>
      <c r="G119" s="76"/>
      <c r="H119" s="76"/>
      <c r="I119" s="76"/>
      <c r="J119" s="214"/>
      <c r="K119" s="157"/>
      <c r="L119" s="76"/>
      <c r="M119" s="78"/>
      <c r="N119" s="76"/>
      <c r="O119" s="76"/>
      <c r="P119" s="76"/>
      <c r="Q119" s="76"/>
    </row>
    <row r="120" spans="1:17" s="91" customFormat="1" ht="12" customHeight="1" x14ac:dyDescent="0.3">
      <c r="A120" s="76"/>
      <c r="B120" s="223"/>
      <c r="C120" s="76"/>
      <c r="D120" s="76"/>
      <c r="E120" s="76"/>
      <c r="F120" s="76"/>
      <c r="G120" s="76"/>
      <c r="H120" s="76"/>
      <c r="I120" s="76"/>
      <c r="J120" s="214"/>
      <c r="K120" s="157"/>
      <c r="L120" s="76"/>
      <c r="M120" s="78"/>
      <c r="N120" s="76"/>
      <c r="O120" s="76"/>
      <c r="P120" s="76"/>
      <c r="Q120" s="76"/>
    </row>
    <row r="121" spans="1:17" s="91" customFormat="1" ht="12" customHeight="1" x14ac:dyDescent="0.3">
      <c r="A121" s="76"/>
      <c r="B121" s="223"/>
      <c r="C121" s="76"/>
      <c r="D121" s="76"/>
      <c r="E121" s="76"/>
      <c r="F121" s="76"/>
      <c r="G121" s="76"/>
      <c r="H121" s="76"/>
      <c r="I121" s="76"/>
      <c r="J121" s="214"/>
      <c r="K121" s="157"/>
      <c r="L121" s="76"/>
      <c r="M121" s="78"/>
      <c r="N121" s="76"/>
      <c r="O121" s="76"/>
      <c r="P121" s="76"/>
      <c r="Q121" s="76"/>
    </row>
    <row r="122" spans="1:17" s="91" customFormat="1" ht="12" customHeight="1" x14ac:dyDescent="0.3">
      <c r="A122" s="76"/>
      <c r="B122" s="223"/>
      <c r="C122" s="76"/>
      <c r="D122" s="76"/>
      <c r="E122" s="76"/>
      <c r="F122" s="76"/>
      <c r="G122" s="76"/>
      <c r="H122" s="76"/>
      <c r="I122" s="76"/>
      <c r="J122" s="214"/>
      <c r="K122" s="157"/>
      <c r="L122" s="76"/>
      <c r="M122" s="78"/>
      <c r="N122" s="76"/>
      <c r="O122" s="76"/>
      <c r="P122" s="76"/>
      <c r="Q122" s="76"/>
    </row>
    <row r="123" spans="1:17" s="91" customFormat="1" ht="12" customHeight="1" x14ac:dyDescent="0.3">
      <c r="A123" s="76"/>
      <c r="B123" s="223"/>
      <c r="C123" s="76"/>
      <c r="D123" s="76"/>
      <c r="E123" s="76"/>
      <c r="F123" s="76"/>
      <c r="G123" s="76"/>
      <c r="H123" s="76"/>
      <c r="I123" s="76"/>
      <c r="J123" s="214"/>
      <c r="K123" s="157"/>
      <c r="L123" s="76"/>
      <c r="M123" s="78"/>
      <c r="N123" s="76"/>
      <c r="O123" s="76"/>
      <c r="P123" s="76"/>
      <c r="Q123" s="76"/>
    </row>
    <row r="124" spans="1:17" s="91" customFormat="1" ht="12" customHeight="1" x14ac:dyDescent="0.3">
      <c r="A124" s="76"/>
      <c r="B124" s="223"/>
      <c r="C124" s="76"/>
      <c r="D124" s="76"/>
      <c r="E124" s="76"/>
      <c r="F124" s="76"/>
      <c r="G124" s="76"/>
      <c r="H124" s="76"/>
      <c r="I124" s="76"/>
      <c r="J124" s="214"/>
      <c r="K124" s="157"/>
      <c r="L124" s="76"/>
      <c r="M124" s="78"/>
      <c r="N124" s="76"/>
      <c r="O124" s="76"/>
      <c r="P124" s="76"/>
      <c r="Q124" s="76"/>
    </row>
    <row r="125" spans="1:17" s="91" customFormat="1" ht="12" customHeight="1" x14ac:dyDescent="0.3">
      <c r="A125" s="76"/>
      <c r="B125" s="223"/>
      <c r="C125" s="76"/>
      <c r="D125" s="76"/>
      <c r="E125" s="76"/>
      <c r="F125" s="76"/>
      <c r="G125" s="76"/>
      <c r="H125" s="76"/>
      <c r="I125" s="76"/>
      <c r="J125" s="214"/>
      <c r="K125" s="157"/>
      <c r="L125" s="76"/>
      <c r="M125" s="78"/>
      <c r="N125" s="76"/>
      <c r="O125" s="76"/>
      <c r="P125" s="76"/>
      <c r="Q125" s="76"/>
    </row>
    <row r="126" spans="1:17" s="91" customFormat="1" ht="12" customHeight="1" x14ac:dyDescent="0.3">
      <c r="A126" s="76"/>
      <c r="B126" s="223"/>
      <c r="C126" s="76"/>
      <c r="D126" s="76"/>
      <c r="E126" s="76"/>
      <c r="F126" s="76"/>
      <c r="G126" s="76"/>
      <c r="H126" s="76"/>
      <c r="I126" s="76"/>
      <c r="J126" s="214"/>
      <c r="K126" s="157"/>
      <c r="L126" s="76"/>
      <c r="M126" s="78"/>
      <c r="N126" s="76"/>
      <c r="O126" s="76"/>
      <c r="P126" s="76"/>
      <c r="Q126" s="76"/>
    </row>
    <row r="127" spans="1:17" s="91" customFormat="1" ht="12" customHeight="1" x14ac:dyDescent="0.3">
      <c r="A127" s="76"/>
      <c r="B127" s="223"/>
      <c r="C127" s="76"/>
      <c r="D127" s="76"/>
      <c r="E127" s="76"/>
      <c r="F127" s="76"/>
      <c r="G127" s="76"/>
      <c r="H127" s="76"/>
      <c r="I127" s="76"/>
      <c r="J127" s="214"/>
      <c r="K127" s="157"/>
      <c r="L127" s="76"/>
      <c r="M127" s="78"/>
      <c r="N127" s="76"/>
      <c r="O127" s="76"/>
      <c r="P127" s="76"/>
      <c r="Q127" s="76"/>
    </row>
    <row r="128" spans="1:17" s="91" customFormat="1" ht="12" customHeight="1" x14ac:dyDescent="0.3">
      <c r="A128" s="76"/>
      <c r="B128" s="223"/>
      <c r="C128" s="76"/>
      <c r="D128" s="76"/>
      <c r="E128" s="76"/>
      <c r="F128" s="76"/>
      <c r="G128" s="76"/>
      <c r="H128" s="76"/>
      <c r="I128" s="76"/>
      <c r="J128" s="214"/>
      <c r="K128" s="157"/>
      <c r="L128" s="76"/>
      <c r="M128" s="78"/>
      <c r="N128" s="76"/>
      <c r="O128" s="76"/>
      <c r="P128" s="76"/>
      <c r="Q128" s="76"/>
    </row>
    <row r="129" spans="1:17" s="91" customFormat="1" ht="12" customHeight="1" x14ac:dyDescent="0.3">
      <c r="A129" s="76"/>
      <c r="B129" s="223"/>
      <c r="C129" s="76"/>
      <c r="D129" s="76"/>
      <c r="E129" s="76"/>
      <c r="F129" s="76"/>
      <c r="G129" s="76"/>
      <c r="H129" s="76"/>
      <c r="I129" s="76"/>
      <c r="J129" s="214"/>
      <c r="K129" s="157"/>
      <c r="L129" s="76"/>
      <c r="M129" s="78"/>
      <c r="N129" s="76"/>
      <c r="O129" s="76"/>
      <c r="P129" s="76"/>
      <c r="Q129" s="76"/>
    </row>
    <row r="130" spans="1:17" s="91" customFormat="1" ht="12" customHeight="1" x14ac:dyDescent="0.3">
      <c r="A130" s="76"/>
      <c r="B130" s="223"/>
      <c r="C130" s="76"/>
      <c r="D130" s="76"/>
      <c r="E130" s="76"/>
      <c r="F130" s="76"/>
      <c r="G130" s="76"/>
      <c r="H130" s="76"/>
      <c r="I130" s="76"/>
      <c r="J130" s="214"/>
      <c r="K130" s="157"/>
      <c r="L130" s="76"/>
      <c r="M130" s="78"/>
      <c r="N130" s="76"/>
      <c r="O130" s="76"/>
      <c r="P130" s="76"/>
      <c r="Q130" s="76"/>
    </row>
    <row r="131" spans="1:17" s="91" customFormat="1" ht="12" customHeight="1" x14ac:dyDescent="0.3">
      <c r="A131" s="76"/>
      <c r="B131" s="223"/>
      <c r="C131" s="76"/>
      <c r="D131" s="76"/>
      <c r="E131" s="76"/>
      <c r="F131" s="76"/>
      <c r="G131" s="76"/>
      <c r="H131" s="76"/>
      <c r="I131" s="76"/>
      <c r="J131" s="214"/>
      <c r="K131" s="157"/>
      <c r="L131" s="76"/>
      <c r="M131" s="78"/>
      <c r="N131" s="76"/>
      <c r="O131" s="76"/>
      <c r="P131" s="76"/>
      <c r="Q131" s="76"/>
    </row>
    <row r="132" spans="1:17" s="91" customFormat="1" ht="12" customHeight="1" x14ac:dyDescent="0.3">
      <c r="A132" s="76"/>
      <c r="B132" s="223"/>
      <c r="C132" s="76"/>
      <c r="D132" s="76"/>
      <c r="E132" s="76"/>
      <c r="F132" s="76"/>
      <c r="G132" s="76"/>
      <c r="H132" s="76"/>
      <c r="I132" s="76"/>
      <c r="J132" s="214"/>
      <c r="K132" s="157"/>
      <c r="L132" s="76"/>
      <c r="M132" s="78"/>
      <c r="N132" s="76"/>
      <c r="O132" s="76"/>
      <c r="P132" s="76"/>
      <c r="Q132" s="76"/>
    </row>
    <row r="133" spans="1:17" s="91" customFormat="1" ht="12" customHeight="1" x14ac:dyDescent="0.3">
      <c r="A133" s="76"/>
      <c r="B133" s="223"/>
      <c r="C133" s="76"/>
      <c r="D133" s="76"/>
      <c r="E133" s="76"/>
      <c r="F133" s="76"/>
      <c r="G133" s="76"/>
      <c r="H133" s="76"/>
      <c r="I133" s="76"/>
      <c r="J133" s="214"/>
      <c r="K133" s="157"/>
      <c r="L133" s="76"/>
      <c r="M133" s="78"/>
      <c r="N133" s="76"/>
      <c r="O133" s="76"/>
      <c r="P133" s="76"/>
      <c r="Q133" s="76"/>
    </row>
    <row r="134" spans="1:17" s="91" customFormat="1" ht="12" customHeight="1" x14ac:dyDescent="0.3">
      <c r="A134" s="76"/>
      <c r="B134" s="223"/>
      <c r="C134" s="76"/>
      <c r="D134" s="76"/>
      <c r="E134" s="76"/>
      <c r="F134" s="76"/>
      <c r="G134" s="76"/>
      <c r="H134" s="76"/>
      <c r="I134" s="76"/>
      <c r="J134" s="214"/>
      <c r="K134" s="157"/>
      <c r="L134" s="76"/>
      <c r="M134" s="78"/>
      <c r="N134" s="76"/>
      <c r="O134" s="76"/>
      <c r="P134" s="76"/>
      <c r="Q134" s="76"/>
    </row>
    <row r="135" spans="1:17" s="91" customFormat="1" ht="12" customHeight="1" x14ac:dyDescent="0.3">
      <c r="A135" s="76"/>
      <c r="B135" s="223"/>
      <c r="C135" s="76"/>
      <c r="D135" s="76"/>
      <c r="E135" s="76"/>
      <c r="F135" s="76"/>
      <c r="G135" s="76"/>
      <c r="H135" s="76"/>
      <c r="I135" s="76"/>
      <c r="J135" s="214"/>
      <c r="K135" s="157"/>
      <c r="L135" s="76"/>
      <c r="M135" s="78"/>
      <c r="N135" s="76"/>
      <c r="O135" s="76"/>
      <c r="P135" s="76"/>
      <c r="Q135" s="76"/>
    </row>
    <row r="136" spans="1:17" s="91" customFormat="1" ht="12" customHeight="1" x14ac:dyDescent="0.3">
      <c r="A136" s="76"/>
      <c r="B136" s="223"/>
      <c r="C136" s="76"/>
      <c r="D136" s="76"/>
      <c r="E136" s="76"/>
      <c r="F136" s="76"/>
      <c r="G136" s="76"/>
      <c r="H136" s="76"/>
      <c r="I136" s="76"/>
      <c r="J136" s="214"/>
      <c r="K136" s="157"/>
      <c r="L136" s="76"/>
      <c r="M136" s="78"/>
      <c r="N136" s="76"/>
      <c r="O136" s="76"/>
      <c r="P136" s="76"/>
      <c r="Q136" s="76"/>
    </row>
    <row r="137" spans="1:17" s="91" customFormat="1" ht="12" customHeight="1" x14ac:dyDescent="0.3">
      <c r="A137" s="76"/>
      <c r="B137" s="223"/>
      <c r="C137" s="76"/>
      <c r="D137" s="76"/>
      <c r="E137" s="76"/>
      <c r="F137" s="76"/>
      <c r="G137" s="76"/>
      <c r="H137" s="76"/>
      <c r="I137" s="76"/>
      <c r="J137" s="214"/>
      <c r="K137" s="157"/>
      <c r="L137" s="76"/>
      <c r="M137" s="78"/>
      <c r="N137" s="76"/>
      <c r="O137" s="76"/>
      <c r="P137" s="76"/>
      <c r="Q137" s="76"/>
    </row>
    <row r="138" spans="1:17" s="91" customFormat="1" ht="12" customHeight="1" x14ac:dyDescent="0.3">
      <c r="A138" s="76"/>
      <c r="B138" s="223"/>
      <c r="C138" s="76"/>
      <c r="D138" s="76"/>
      <c r="E138" s="76"/>
      <c r="F138" s="76"/>
      <c r="G138" s="76"/>
      <c r="H138" s="76"/>
      <c r="I138" s="76"/>
      <c r="J138" s="214"/>
      <c r="K138" s="157"/>
      <c r="L138" s="76"/>
      <c r="M138" s="78"/>
      <c r="N138" s="76"/>
      <c r="O138" s="76"/>
      <c r="P138" s="76"/>
      <c r="Q138" s="76"/>
    </row>
    <row r="139" spans="1:17" s="91" customFormat="1" ht="12" customHeight="1" x14ac:dyDescent="0.3">
      <c r="A139" s="76"/>
      <c r="B139" s="223"/>
      <c r="C139" s="76"/>
      <c r="D139" s="76"/>
      <c r="E139" s="76"/>
      <c r="F139" s="76"/>
      <c r="G139" s="76"/>
      <c r="H139" s="76"/>
      <c r="I139" s="76"/>
      <c r="J139" s="214"/>
      <c r="K139" s="157"/>
      <c r="L139" s="76"/>
      <c r="M139" s="78"/>
      <c r="N139" s="76"/>
      <c r="O139" s="76"/>
      <c r="P139" s="76"/>
      <c r="Q139" s="76"/>
    </row>
    <row r="140" spans="1:17" s="91" customFormat="1" ht="12" customHeight="1" x14ac:dyDescent="0.3">
      <c r="A140" s="76"/>
      <c r="B140" s="223"/>
      <c r="C140" s="76"/>
      <c r="D140" s="76"/>
      <c r="E140" s="76"/>
      <c r="F140" s="76"/>
      <c r="G140" s="76"/>
      <c r="H140" s="76"/>
      <c r="I140" s="76"/>
      <c r="J140" s="214"/>
      <c r="K140" s="157"/>
      <c r="L140" s="76"/>
      <c r="M140" s="78"/>
      <c r="N140" s="76"/>
      <c r="O140" s="76"/>
      <c r="P140" s="76"/>
      <c r="Q140" s="76"/>
    </row>
    <row r="141" spans="1:17" s="91" customFormat="1" ht="12" customHeight="1" x14ac:dyDescent="0.3">
      <c r="A141" s="76"/>
      <c r="B141" s="223"/>
      <c r="C141" s="76"/>
      <c r="D141" s="76"/>
      <c r="E141" s="76"/>
      <c r="F141" s="76"/>
      <c r="G141" s="76"/>
      <c r="H141" s="76"/>
      <c r="I141" s="76"/>
      <c r="J141" s="214"/>
      <c r="K141" s="157"/>
      <c r="L141" s="76"/>
      <c r="M141" s="78"/>
      <c r="N141" s="76"/>
      <c r="O141" s="76"/>
      <c r="P141" s="76"/>
      <c r="Q141" s="76"/>
    </row>
    <row r="142" spans="1:17" s="91" customFormat="1" ht="12" customHeight="1" x14ac:dyDescent="0.3">
      <c r="A142" s="76"/>
      <c r="B142" s="223"/>
      <c r="C142" s="76"/>
      <c r="D142" s="76"/>
      <c r="E142" s="76"/>
      <c r="F142" s="76"/>
      <c r="G142" s="76"/>
      <c r="H142" s="76"/>
      <c r="I142" s="76"/>
      <c r="J142" s="214"/>
      <c r="K142" s="157"/>
      <c r="L142" s="76"/>
      <c r="M142" s="78"/>
      <c r="N142" s="76"/>
      <c r="O142" s="76"/>
      <c r="P142" s="76"/>
      <c r="Q142" s="76"/>
    </row>
    <row r="143" spans="1:17" s="91" customFormat="1" ht="12" customHeight="1" x14ac:dyDescent="0.3">
      <c r="A143" s="76"/>
      <c r="B143" s="223"/>
      <c r="C143" s="76"/>
      <c r="D143" s="76"/>
      <c r="E143" s="76"/>
      <c r="F143" s="76"/>
      <c r="G143" s="76"/>
      <c r="H143" s="76"/>
      <c r="I143" s="76"/>
      <c r="J143" s="214"/>
      <c r="K143" s="157"/>
      <c r="L143" s="76"/>
      <c r="M143" s="78"/>
      <c r="N143" s="76"/>
      <c r="O143" s="76"/>
      <c r="P143" s="76"/>
      <c r="Q143" s="76"/>
    </row>
    <row r="144" spans="1:17" s="91" customFormat="1" ht="12" customHeight="1" x14ac:dyDescent="0.3">
      <c r="A144" s="76"/>
      <c r="B144" s="223"/>
      <c r="C144" s="76"/>
      <c r="D144" s="76"/>
      <c r="E144" s="76"/>
      <c r="F144" s="76"/>
      <c r="G144" s="76"/>
      <c r="H144" s="76"/>
      <c r="I144" s="76"/>
      <c r="J144" s="214"/>
      <c r="K144" s="157"/>
      <c r="L144" s="76"/>
      <c r="M144" s="78"/>
      <c r="N144" s="76"/>
      <c r="O144" s="76"/>
      <c r="P144" s="76"/>
      <c r="Q144" s="76"/>
    </row>
    <row r="145" spans="1:17" s="91" customFormat="1" ht="12" customHeight="1" x14ac:dyDescent="0.3">
      <c r="A145" s="76"/>
      <c r="B145" s="223"/>
      <c r="C145" s="76"/>
      <c r="D145" s="76"/>
      <c r="E145" s="76"/>
      <c r="F145" s="76"/>
      <c r="G145" s="76"/>
      <c r="H145" s="76"/>
      <c r="I145" s="76"/>
      <c r="J145" s="214"/>
      <c r="K145" s="157"/>
      <c r="L145" s="76"/>
      <c r="M145" s="78"/>
      <c r="N145" s="76"/>
      <c r="O145" s="76"/>
      <c r="P145" s="76"/>
      <c r="Q145" s="76"/>
    </row>
    <row r="146" spans="1:17" s="91" customFormat="1" ht="12" customHeight="1" x14ac:dyDescent="0.3">
      <c r="A146" s="76"/>
      <c r="B146" s="223"/>
      <c r="C146" s="76"/>
      <c r="D146" s="76"/>
      <c r="E146" s="76"/>
      <c r="F146" s="76"/>
      <c r="G146" s="76"/>
      <c r="H146" s="76"/>
      <c r="I146" s="76"/>
      <c r="J146" s="214"/>
      <c r="K146" s="157"/>
      <c r="L146" s="76"/>
      <c r="M146" s="78"/>
      <c r="N146" s="76"/>
      <c r="O146" s="76"/>
      <c r="P146" s="76"/>
      <c r="Q146" s="76"/>
    </row>
    <row r="147" spans="1:17" s="91" customFormat="1" ht="12" customHeight="1" x14ac:dyDescent="0.3">
      <c r="A147" s="76"/>
      <c r="B147" s="223"/>
      <c r="C147" s="76"/>
      <c r="D147" s="76"/>
      <c r="E147" s="76"/>
      <c r="F147" s="76"/>
      <c r="G147" s="76"/>
      <c r="H147" s="76"/>
      <c r="I147" s="76"/>
      <c r="J147" s="214"/>
      <c r="K147" s="157"/>
      <c r="L147" s="76"/>
      <c r="M147" s="78"/>
      <c r="N147" s="76"/>
      <c r="O147" s="76"/>
      <c r="P147" s="76"/>
      <c r="Q147" s="76"/>
    </row>
    <row r="148" spans="1:17" s="91" customFormat="1" ht="12" customHeight="1" x14ac:dyDescent="0.3">
      <c r="A148" s="76"/>
      <c r="B148" s="223"/>
      <c r="C148" s="76"/>
      <c r="D148" s="76"/>
      <c r="E148" s="76"/>
      <c r="F148" s="76"/>
      <c r="G148" s="76"/>
      <c r="H148" s="76"/>
      <c r="I148" s="76"/>
      <c r="J148" s="214"/>
      <c r="K148" s="157"/>
      <c r="L148" s="76"/>
      <c r="M148" s="78"/>
      <c r="N148" s="76"/>
      <c r="O148" s="76"/>
      <c r="P148" s="76"/>
      <c r="Q148" s="76"/>
    </row>
    <row r="149" spans="1:17" s="91" customFormat="1" ht="12" customHeight="1" x14ac:dyDescent="0.3">
      <c r="A149" s="76"/>
      <c r="B149" s="223"/>
      <c r="C149" s="76"/>
      <c r="D149" s="76"/>
      <c r="E149" s="76"/>
      <c r="F149" s="76"/>
      <c r="G149" s="76"/>
      <c r="H149" s="76"/>
      <c r="I149" s="76"/>
      <c r="J149" s="214"/>
      <c r="K149" s="157"/>
      <c r="L149" s="76"/>
      <c r="M149" s="78"/>
      <c r="N149" s="76"/>
      <c r="O149" s="76"/>
      <c r="P149" s="76"/>
      <c r="Q149" s="76"/>
    </row>
    <row r="150" spans="1:17" s="91" customFormat="1" ht="12" customHeight="1" x14ac:dyDescent="0.3">
      <c r="A150" s="76"/>
      <c r="B150" s="223"/>
      <c r="C150" s="76"/>
      <c r="D150" s="76"/>
      <c r="E150" s="76"/>
      <c r="F150" s="76"/>
      <c r="G150" s="76"/>
      <c r="H150" s="76"/>
      <c r="I150" s="76"/>
      <c r="J150" s="214"/>
      <c r="K150" s="157"/>
      <c r="L150" s="76"/>
      <c r="M150" s="78"/>
      <c r="N150" s="76"/>
      <c r="O150" s="76"/>
      <c r="P150" s="76"/>
      <c r="Q150" s="76"/>
    </row>
    <row r="151" spans="1:17" s="91" customFormat="1" ht="12" customHeight="1" x14ac:dyDescent="0.3">
      <c r="A151" s="76"/>
      <c r="B151" s="223"/>
      <c r="C151" s="76"/>
      <c r="D151" s="76"/>
      <c r="E151" s="76"/>
      <c r="F151" s="76"/>
      <c r="G151" s="76"/>
      <c r="H151" s="76"/>
      <c r="I151" s="76"/>
      <c r="J151" s="214"/>
      <c r="K151" s="157"/>
      <c r="L151" s="76"/>
      <c r="M151" s="78"/>
      <c r="N151" s="76"/>
      <c r="O151" s="76"/>
      <c r="P151" s="76"/>
      <c r="Q151" s="76"/>
    </row>
    <row r="152" spans="1:17" s="91" customFormat="1" ht="12" customHeight="1" x14ac:dyDescent="0.3">
      <c r="A152" s="76"/>
      <c r="B152" s="223"/>
      <c r="C152" s="76"/>
      <c r="D152" s="76"/>
      <c r="E152" s="76"/>
      <c r="F152" s="76"/>
      <c r="G152" s="76"/>
      <c r="H152" s="76"/>
      <c r="I152" s="76"/>
      <c r="J152" s="214"/>
      <c r="K152" s="157"/>
      <c r="L152" s="76"/>
      <c r="M152" s="78"/>
      <c r="N152" s="76"/>
      <c r="O152" s="76"/>
      <c r="P152" s="76"/>
      <c r="Q152" s="76"/>
    </row>
    <row r="153" spans="1:17" s="91" customFormat="1" ht="12" customHeight="1" x14ac:dyDescent="0.3">
      <c r="A153" s="76"/>
      <c r="B153" s="223"/>
      <c r="C153" s="76"/>
      <c r="D153" s="76"/>
      <c r="E153" s="76"/>
      <c r="F153" s="76"/>
      <c r="G153" s="76"/>
      <c r="H153" s="76"/>
      <c r="I153" s="76"/>
      <c r="J153" s="214"/>
      <c r="K153" s="157"/>
      <c r="L153" s="76"/>
      <c r="M153" s="78"/>
      <c r="N153" s="76"/>
      <c r="O153" s="76"/>
      <c r="P153" s="76"/>
      <c r="Q153" s="76"/>
    </row>
    <row r="154" spans="1:17" s="91" customFormat="1" ht="12" customHeight="1" x14ac:dyDescent="0.3">
      <c r="A154" s="76"/>
      <c r="B154" s="223"/>
      <c r="C154" s="76"/>
      <c r="D154" s="76"/>
      <c r="E154" s="76"/>
      <c r="F154" s="76"/>
      <c r="G154" s="76"/>
      <c r="H154" s="76"/>
      <c r="I154" s="76"/>
      <c r="J154" s="214"/>
      <c r="K154" s="157"/>
      <c r="L154" s="76"/>
      <c r="M154" s="78"/>
      <c r="N154" s="76"/>
      <c r="O154" s="76"/>
      <c r="P154" s="76"/>
      <c r="Q154" s="76"/>
    </row>
    <row r="155" spans="1:17" s="91" customFormat="1" ht="12" customHeight="1" x14ac:dyDescent="0.3">
      <c r="A155" s="76"/>
      <c r="B155" s="223"/>
      <c r="C155" s="76"/>
      <c r="D155" s="76"/>
      <c r="E155" s="76"/>
      <c r="F155" s="76"/>
      <c r="G155" s="76"/>
      <c r="H155" s="76"/>
      <c r="I155" s="76"/>
      <c r="J155" s="214"/>
      <c r="K155" s="157"/>
      <c r="L155" s="76"/>
      <c r="M155" s="78"/>
      <c r="N155" s="76"/>
      <c r="O155" s="76"/>
      <c r="P155" s="76"/>
      <c r="Q155" s="76"/>
    </row>
    <row r="156" spans="1:17" s="91" customFormat="1" ht="12" customHeight="1" x14ac:dyDescent="0.3">
      <c r="A156" s="76"/>
      <c r="B156" s="223"/>
      <c r="C156" s="76"/>
      <c r="D156" s="76"/>
      <c r="E156" s="76"/>
      <c r="F156" s="76"/>
      <c r="G156" s="76"/>
      <c r="H156" s="76"/>
      <c r="I156" s="76"/>
      <c r="J156" s="214"/>
      <c r="K156" s="157"/>
      <c r="L156" s="76"/>
      <c r="M156" s="78"/>
      <c r="N156" s="76"/>
      <c r="O156" s="76"/>
      <c r="P156" s="76"/>
      <c r="Q156" s="76"/>
    </row>
    <row r="157" spans="1:17" s="91" customFormat="1" ht="12" customHeight="1" x14ac:dyDescent="0.3">
      <c r="A157" s="76"/>
      <c r="B157" s="223"/>
      <c r="C157" s="76"/>
      <c r="D157" s="76"/>
      <c r="E157" s="76"/>
      <c r="F157" s="76"/>
      <c r="G157" s="76"/>
      <c r="H157" s="76"/>
      <c r="I157" s="76"/>
      <c r="J157" s="214"/>
      <c r="K157" s="157"/>
      <c r="L157" s="76"/>
      <c r="M157" s="78"/>
      <c r="N157" s="76"/>
      <c r="O157" s="76"/>
      <c r="P157" s="76"/>
      <c r="Q157" s="76"/>
    </row>
    <row r="158" spans="1:17" s="91" customFormat="1" ht="12" customHeight="1" x14ac:dyDescent="0.3">
      <c r="A158" s="76"/>
      <c r="B158" s="223"/>
      <c r="C158" s="76"/>
      <c r="D158" s="76"/>
      <c r="E158" s="76"/>
      <c r="F158" s="76"/>
      <c r="G158" s="76"/>
      <c r="H158" s="76"/>
      <c r="I158" s="76"/>
      <c r="J158" s="214"/>
      <c r="K158" s="157"/>
      <c r="L158" s="76"/>
      <c r="M158" s="78"/>
      <c r="N158" s="76"/>
      <c r="O158" s="76"/>
      <c r="P158" s="76"/>
      <c r="Q158" s="76"/>
    </row>
    <row r="159" spans="1:17" s="91" customFormat="1" ht="12" customHeight="1" x14ac:dyDescent="0.3">
      <c r="A159" s="76"/>
      <c r="B159" s="223"/>
      <c r="C159" s="76"/>
      <c r="D159" s="76"/>
      <c r="E159" s="76"/>
      <c r="F159" s="76"/>
      <c r="G159" s="76"/>
      <c r="H159" s="76"/>
      <c r="I159" s="76"/>
      <c r="J159" s="214"/>
      <c r="K159" s="157"/>
      <c r="L159" s="76"/>
      <c r="M159" s="78"/>
      <c r="N159" s="76"/>
      <c r="O159" s="76"/>
      <c r="P159" s="76"/>
      <c r="Q159" s="76"/>
    </row>
    <row r="160" spans="1:17" s="91" customFormat="1" ht="12" customHeight="1" x14ac:dyDescent="0.3">
      <c r="A160" s="76"/>
      <c r="B160" s="223"/>
      <c r="C160" s="76"/>
      <c r="D160" s="76"/>
      <c r="E160" s="76"/>
      <c r="F160" s="76"/>
      <c r="G160" s="76"/>
      <c r="H160" s="76"/>
      <c r="I160" s="76"/>
      <c r="J160" s="214"/>
      <c r="K160" s="157"/>
      <c r="L160" s="76"/>
      <c r="M160" s="78"/>
      <c r="N160" s="76"/>
      <c r="O160" s="76"/>
      <c r="P160" s="76"/>
      <c r="Q160" s="76"/>
    </row>
    <row r="161" spans="1:17" s="91" customFormat="1" ht="12" customHeight="1" x14ac:dyDescent="0.3">
      <c r="A161" s="76"/>
      <c r="B161" s="223"/>
      <c r="C161" s="76"/>
      <c r="D161" s="76"/>
      <c r="E161" s="76"/>
      <c r="F161" s="76"/>
      <c r="G161" s="76"/>
      <c r="H161" s="76"/>
      <c r="I161" s="76"/>
      <c r="J161" s="214"/>
      <c r="K161" s="157"/>
      <c r="L161" s="76"/>
      <c r="M161" s="78"/>
      <c r="N161" s="76"/>
      <c r="O161" s="76"/>
      <c r="P161" s="76"/>
      <c r="Q161" s="76"/>
    </row>
    <row r="162" spans="1:17" s="91" customFormat="1" ht="12" customHeight="1" x14ac:dyDescent="0.3">
      <c r="A162" s="76"/>
      <c r="B162" s="223"/>
      <c r="C162" s="76"/>
      <c r="D162" s="76"/>
      <c r="E162" s="76"/>
      <c r="F162" s="76"/>
      <c r="G162" s="76"/>
      <c r="H162" s="76"/>
      <c r="I162" s="76"/>
      <c r="J162" s="214"/>
      <c r="K162" s="157"/>
      <c r="L162" s="76"/>
      <c r="M162" s="78"/>
      <c r="N162" s="76"/>
      <c r="O162" s="76"/>
      <c r="P162" s="76"/>
      <c r="Q162" s="76"/>
    </row>
    <row r="163" spans="1:17" s="91" customFormat="1" ht="12" customHeight="1" x14ac:dyDescent="0.3">
      <c r="A163" s="76"/>
      <c r="B163" s="223"/>
      <c r="C163" s="76"/>
      <c r="D163" s="76"/>
      <c r="E163" s="76"/>
      <c r="F163" s="76"/>
      <c r="G163" s="76"/>
      <c r="H163" s="76"/>
      <c r="I163" s="76"/>
      <c r="J163" s="214"/>
      <c r="K163" s="157"/>
      <c r="L163" s="76"/>
      <c r="M163" s="78"/>
      <c r="N163" s="76"/>
      <c r="O163" s="76"/>
      <c r="P163" s="76"/>
      <c r="Q163" s="76"/>
    </row>
    <row r="164" spans="1:17" s="91" customFormat="1" ht="12" customHeight="1" x14ac:dyDescent="0.3">
      <c r="A164" s="76"/>
      <c r="B164" s="223"/>
      <c r="C164" s="76"/>
      <c r="D164" s="76"/>
      <c r="E164" s="76"/>
      <c r="F164" s="76"/>
      <c r="G164" s="76"/>
      <c r="H164" s="76"/>
      <c r="I164" s="76"/>
      <c r="J164" s="214"/>
      <c r="K164" s="157"/>
      <c r="L164" s="76"/>
      <c r="M164" s="78"/>
      <c r="N164" s="76"/>
      <c r="O164" s="76"/>
      <c r="P164" s="76"/>
      <c r="Q164" s="76"/>
    </row>
    <row r="165" spans="1:17" s="91" customFormat="1" ht="12" customHeight="1" x14ac:dyDescent="0.3">
      <c r="A165" s="76"/>
      <c r="B165" s="223"/>
      <c r="C165" s="76"/>
      <c r="D165" s="76"/>
      <c r="E165" s="76"/>
      <c r="F165" s="76"/>
      <c r="G165" s="76"/>
      <c r="H165" s="76"/>
      <c r="I165" s="76"/>
      <c r="J165" s="214"/>
      <c r="K165" s="157"/>
      <c r="L165" s="76"/>
      <c r="M165" s="78"/>
      <c r="N165" s="76"/>
      <c r="O165" s="76"/>
      <c r="P165" s="76"/>
      <c r="Q165" s="76"/>
    </row>
    <row r="166" spans="1:17" s="91" customFormat="1" ht="12" customHeight="1" x14ac:dyDescent="0.3">
      <c r="A166" s="76"/>
      <c r="B166" s="223"/>
      <c r="C166" s="76"/>
      <c r="D166" s="76"/>
      <c r="E166" s="76"/>
      <c r="F166" s="76"/>
      <c r="G166" s="76"/>
      <c r="H166" s="76"/>
      <c r="I166" s="76"/>
      <c r="J166" s="214"/>
      <c r="K166" s="157"/>
      <c r="L166" s="76"/>
      <c r="M166" s="78"/>
      <c r="N166" s="76"/>
      <c r="O166" s="76"/>
      <c r="P166" s="76"/>
      <c r="Q166" s="76"/>
    </row>
    <row r="167" spans="1:17" s="91" customFormat="1" ht="10.5" customHeight="1" x14ac:dyDescent="0.3">
      <c r="A167" s="76"/>
      <c r="B167" s="223"/>
      <c r="C167" s="76"/>
      <c r="D167" s="76"/>
      <c r="E167" s="76"/>
      <c r="F167" s="76"/>
      <c r="G167" s="76"/>
      <c r="H167" s="76"/>
      <c r="I167" s="76"/>
      <c r="J167" s="214"/>
      <c r="K167" s="157"/>
      <c r="L167" s="76"/>
      <c r="M167" s="78"/>
      <c r="N167" s="76"/>
      <c r="O167" s="76"/>
      <c r="P167" s="76"/>
      <c r="Q167" s="76"/>
    </row>
    <row r="168" spans="1:17" s="91" customFormat="1" ht="12" customHeight="1" x14ac:dyDescent="0.3">
      <c r="A168" s="76"/>
      <c r="B168" s="223"/>
      <c r="C168" s="76"/>
      <c r="D168" s="76"/>
      <c r="E168" s="76"/>
      <c r="F168" s="76"/>
      <c r="G168" s="76"/>
      <c r="H168" s="76"/>
      <c r="I168" s="76"/>
      <c r="J168" s="214"/>
      <c r="K168" s="157"/>
      <c r="L168" s="76"/>
      <c r="M168" s="78"/>
      <c r="N168" s="76"/>
      <c r="O168" s="76"/>
      <c r="P168" s="76"/>
      <c r="Q168" s="76"/>
    </row>
    <row r="169" spans="1:17" s="91" customFormat="1" ht="12" customHeight="1" x14ac:dyDescent="0.3">
      <c r="A169" s="76"/>
      <c r="B169" s="223"/>
      <c r="C169" s="76"/>
      <c r="D169" s="76"/>
      <c r="E169" s="76"/>
      <c r="F169" s="76"/>
      <c r="G169" s="76"/>
      <c r="H169" s="76"/>
      <c r="I169" s="76"/>
      <c r="J169" s="214"/>
      <c r="K169" s="157"/>
      <c r="L169" s="76"/>
      <c r="M169" s="78"/>
      <c r="N169" s="76"/>
      <c r="O169" s="76"/>
      <c r="P169" s="76"/>
      <c r="Q169" s="76"/>
    </row>
    <row r="170" spans="1:17" s="91" customFormat="1" ht="12" customHeight="1" x14ac:dyDescent="0.3">
      <c r="A170" s="76"/>
      <c r="B170" s="223"/>
      <c r="C170" s="76"/>
      <c r="D170" s="76"/>
      <c r="E170" s="76"/>
      <c r="F170" s="76"/>
      <c r="G170" s="76"/>
      <c r="H170" s="76"/>
      <c r="I170" s="76"/>
      <c r="J170" s="214"/>
      <c r="K170" s="157"/>
      <c r="L170" s="76"/>
      <c r="M170" s="78"/>
      <c r="N170" s="76"/>
      <c r="O170" s="76"/>
      <c r="P170" s="76"/>
      <c r="Q170" s="76"/>
    </row>
    <row r="171" spans="1:17" s="91" customFormat="1" ht="12" customHeight="1" x14ac:dyDescent="0.3">
      <c r="A171" s="76"/>
      <c r="B171" s="223"/>
      <c r="C171" s="76"/>
      <c r="D171" s="76"/>
      <c r="E171" s="76"/>
      <c r="F171" s="76"/>
      <c r="G171" s="76"/>
      <c r="H171" s="76"/>
      <c r="I171" s="76"/>
      <c r="J171" s="214"/>
      <c r="K171" s="157"/>
      <c r="L171" s="76"/>
      <c r="M171" s="78"/>
      <c r="N171" s="76"/>
      <c r="O171" s="76"/>
      <c r="P171" s="76"/>
      <c r="Q171" s="76"/>
    </row>
    <row r="172" spans="1:17" s="91" customFormat="1" ht="12" customHeight="1" x14ac:dyDescent="0.3">
      <c r="A172" s="76"/>
      <c r="B172" s="223"/>
      <c r="C172" s="76"/>
      <c r="D172" s="76"/>
      <c r="E172" s="76"/>
      <c r="F172" s="76"/>
      <c r="G172" s="76"/>
      <c r="H172" s="76"/>
      <c r="I172" s="76"/>
      <c r="J172" s="214"/>
      <c r="K172" s="157"/>
      <c r="L172" s="76"/>
      <c r="M172" s="78"/>
      <c r="N172" s="76"/>
      <c r="O172" s="76"/>
      <c r="P172" s="76"/>
      <c r="Q172" s="76"/>
    </row>
    <row r="173" spans="1:17" s="91" customFormat="1" ht="12" customHeight="1" x14ac:dyDescent="0.3">
      <c r="A173" s="76"/>
      <c r="B173" s="223"/>
      <c r="C173" s="76"/>
      <c r="D173" s="76"/>
      <c r="E173" s="76"/>
      <c r="F173" s="76"/>
      <c r="G173" s="76"/>
      <c r="H173" s="76"/>
      <c r="I173" s="76"/>
      <c r="J173" s="214"/>
      <c r="K173" s="157"/>
      <c r="L173" s="76"/>
      <c r="M173" s="78"/>
      <c r="N173" s="76"/>
      <c r="O173" s="76"/>
      <c r="P173" s="76"/>
      <c r="Q173" s="76"/>
    </row>
    <row r="174" spans="1:17" s="91" customFormat="1" ht="12" customHeight="1" x14ac:dyDescent="0.3">
      <c r="A174" s="76"/>
      <c r="B174" s="223"/>
      <c r="C174" s="76"/>
      <c r="D174" s="76"/>
      <c r="E174" s="76"/>
      <c r="F174" s="76"/>
      <c r="G174" s="76"/>
      <c r="H174" s="76"/>
      <c r="I174" s="76"/>
      <c r="J174" s="214"/>
      <c r="K174" s="157"/>
      <c r="L174" s="76"/>
      <c r="M174" s="78"/>
      <c r="N174" s="76"/>
      <c r="O174" s="76"/>
      <c r="P174" s="76"/>
      <c r="Q174" s="76"/>
    </row>
    <row r="175" spans="1:17" s="91" customFormat="1" ht="12" customHeight="1" x14ac:dyDescent="0.3">
      <c r="A175" s="76"/>
      <c r="B175" s="223"/>
      <c r="C175" s="76"/>
      <c r="D175" s="76"/>
      <c r="E175" s="76"/>
      <c r="F175" s="76"/>
      <c r="G175" s="76"/>
      <c r="H175" s="76"/>
      <c r="I175" s="76"/>
      <c r="J175" s="214"/>
      <c r="K175" s="157"/>
      <c r="L175" s="76"/>
      <c r="M175" s="78"/>
      <c r="N175" s="76"/>
      <c r="O175" s="76"/>
      <c r="P175" s="76"/>
      <c r="Q175" s="76"/>
    </row>
    <row r="176" spans="1:17" s="91" customFormat="1" ht="12" customHeight="1" x14ac:dyDescent="0.3">
      <c r="A176" s="76"/>
      <c r="B176" s="223"/>
      <c r="C176" s="76"/>
      <c r="D176" s="76"/>
      <c r="E176" s="76"/>
      <c r="F176" s="76"/>
      <c r="G176" s="76"/>
      <c r="H176" s="76"/>
      <c r="I176" s="76"/>
      <c r="J176" s="214"/>
      <c r="K176" s="157"/>
      <c r="L176" s="76"/>
      <c r="M176" s="78"/>
      <c r="N176" s="76"/>
      <c r="O176" s="76"/>
      <c r="P176" s="76"/>
      <c r="Q176" s="76"/>
    </row>
    <row r="177" spans="1:17" s="91" customFormat="1" ht="12" customHeight="1" x14ac:dyDescent="0.3">
      <c r="A177" s="76"/>
      <c r="B177" s="223"/>
      <c r="C177" s="76"/>
      <c r="D177" s="76"/>
      <c r="E177" s="76"/>
      <c r="F177" s="76"/>
      <c r="G177" s="76"/>
      <c r="H177" s="76"/>
      <c r="I177" s="76"/>
      <c r="J177" s="214"/>
      <c r="K177" s="157"/>
      <c r="L177" s="76"/>
      <c r="M177" s="78"/>
      <c r="N177" s="76"/>
      <c r="O177" s="76"/>
      <c r="P177" s="76"/>
      <c r="Q177" s="76"/>
    </row>
    <row r="178" spans="1:17" s="91" customFormat="1" ht="12" customHeight="1" x14ac:dyDescent="0.3">
      <c r="A178" s="76"/>
      <c r="B178" s="223"/>
      <c r="C178" s="76"/>
      <c r="D178" s="76"/>
      <c r="E178" s="76"/>
      <c r="F178" s="76"/>
      <c r="G178" s="76"/>
      <c r="H178" s="76"/>
      <c r="I178" s="76"/>
      <c r="J178" s="214"/>
      <c r="K178" s="157"/>
      <c r="L178" s="76"/>
      <c r="M178" s="78"/>
      <c r="N178" s="76"/>
      <c r="O178" s="76"/>
      <c r="P178" s="76"/>
      <c r="Q178" s="76"/>
    </row>
    <row r="179" spans="1:17" s="91" customFormat="1" ht="12" customHeight="1" x14ac:dyDescent="0.3">
      <c r="A179" s="76"/>
      <c r="B179" s="223"/>
      <c r="C179" s="76"/>
      <c r="D179" s="76"/>
      <c r="E179" s="76"/>
      <c r="F179" s="76"/>
      <c r="G179" s="76"/>
      <c r="H179" s="76"/>
      <c r="I179" s="76"/>
      <c r="J179" s="214"/>
      <c r="K179" s="157"/>
      <c r="L179" s="76"/>
      <c r="M179" s="78"/>
      <c r="N179" s="76"/>
      <c r="O179" s="76"/>
      <c r="P179" s="76"/>
      <c r="Q179" s="76"/>
    </row>
    <row r="180" spans="1:17" s="91" customFormat="1" ht="12" customHeight="1" x14ac:dyDescent="0.3">
      <c r="A180" s="76"/>
      <c r="B180" s="223"/>
      <c r="C180" s="76"/>
      <c r="D180" s="76"/>
      <c r="E180" s="76"/>
      <c r="F180" s="76"/>
      <c r="G180" s="76"/>
      <c r="H180" s="76"/>
      <c r="I180" s="76"/>
      <c r="J180" s="214"/>
      <c r="K180" s="157"/>
      <c r="L180" s="76"/>
      <c r="M180" s="78"/>
      <c r="N180" s="76"/>
      <c r="O180" s="76"/>
      <c r="P180" s="76"/>
      <c r="Q180" s="76"/>
    </row>
    <row r="181" spans="1:17" s="91" customFormat="1" ht="12" customHeight="1" x14ac:dyDescent="0.3">
      <c r="A181" s="76"/>
      <c r="B181" s="223"/>
      <c r="C181" s="76"/>
      <c r="D181" s="76"/>
      <c r="E181" s="76"/>
      <c r="F181" s="76"/>
      <c r="G181" s="76"/>
      <c r="H181" s="76"/>
      <c r="I181" s="76"/>
      <c r="J181" s="214"/>
      <c r="K181" s="157"/>
      <c r="L181" s="76"/>
      <c r="M181" s="78"/>
      <c r="N181" s="76"/>
      <c r="O181" s="76"/>
      <c r="P181" s="76"/>
      <c r="Q181" s="76"/>
    </row>
    <row r="182" spans="1:17" s="91" customFormat="1" ht="12" customHeight="1" x14ac:dyDescent="0.3">
      <c r="A182" s="76"/>
      <c r="B182" s="223"/>
      <c r="C182" s="76"/>
      <c r="D182" s="76"/>
      <c r="E182" s="76"/>
      <c r="F182" s="76"/>
      <c r="G182" s="76"/>
      <c r="H182" s="76"/>
      <c r="I182" s="76"/>
      <c r="J182" s="214"/>
      <c r="K182" s="157"/>
      <c r="L182" s="76"/>
      <c r="M182" s="78"/>
      <c r="N182" s="76"/>
      <c r="O182" s="76"/>
      <c r="P182" s="76"/>
      <c r="Q182" s="76"/>
    </row>
    <row r="183" spans="1:17" s="91" customFormat="1" ht="12" customHeight="1" x14ac:dyDescent="0.3">
      <c r="A183" s="76"/>
      <c r="B183" s="223"/>
      <c r="C183" s="76"/>
      <c r="D183" s="76"/>
      <c r="E183" s="76"/>
      <c r="F183" s="76"/>
      <c r="G183" s="76"/>
      <c r="H183" s="76"/>
      <c r="I183" s="76"/>
      <c r="J183" s="214"/>
      <c r="K183" s="157"/>
      <c r="L183" s="76"/>
      <c r="M183" s="78"/>
      <c r="N183" s="76"/>
      <c r="O183" s="76"/>
      <c r="P183" s="76"/>
      <c r="Q183" s="76"/>
    </row>
    <row r="184" spans="1:17" s="91" customFormat="1" ht="12" customHeight="1" x14ac:dyDescent="0.3">
      <c r="A184" s="76"/>
      <c r="B184" s="223"/>
      <c r="C184" s="76"/>
      <c r="D184" s="76"/>
      <c r="E184" s="76"/>
      <c r="F184" s="76"/>
      <c r="G184" s="76"/>
      <c r="H184" s="76"/>
      <c r="I184" s="76"/>
      <c r="J184" s="214"/>
      <c r="K184" s="157"/>
      <c r="L184" s="76"/>
      <c r="M184" s="78"/>
      <c r="N184" s="76"/>
      <c r="O184" s="76"/>
      <c r="P184" s="76"/>
      <c r="Q184" s="76"/>
    </row>
    <row r="185" spans="1:17" s="91" customFormat="1" ht="12" customHeight="1" x14ac:dyDescent="0.3">
      <c r="A185" s="76"/>
      <c r="B185" s="223"/>
      <c r="C185" s="76"/>
      <c r="D185" s="76"/>
      <c r="E185" s="76"/>
      <c r="F185" s="76"/>
      <c r="G185" s="76"/>
      <c r="H185" s="76"/>
      <c r="I185" s="76"/>
      <c r="J185" s="214"/>
      <c r="K185" s="157"/>
      <c r="L185" s="76"/>
      <c r="M185" s="78"/>
      <c r="N185" s="76"/>
      <c r="O185" s="76"/>
      <c r="P185" s="76"/>
      <c r="Q185" s="76"/>
    </row>
    <row r="186" spans="1:17" s="91" customFormat="1" ht="12" customHeight="1" x14ac:dyDescent="0.3">
      <c r="A186" s="76"/>
      <c r="B186" s="223"/>
      <c r="C186" s="76"/>
      <c r="D186" s="76"/>
      <c r="E186" s="76"/>
      <c r="F186" s="76"/>
      <c r="G186" s="76"/>
      <c r="H186" s="76"/>
      <c r="I186" s="76"/>
      <c r="J186" s="214"/>
      <c r="K186" s="157"/>
      <c r="L186" s="76"/>
      <c r="M186" s="78"/>
      <c r="N186" s="76"/>
      <c r="O186" s="76"/>
      <c r="P186" s="76"/>
      <c r="Q186" s="76"/>
    </row>
    <row r="187" spans="1:17" s="91" customFormat="1" ht="12" customHeight="1" x14ac:dyDescent="0.3">
      <c r="A187" s="76"/>
      <c r="B187" s="223"/>
      <c r="C187" s="76"/>
      <c r="D187" s="76"/>
      <c r="E187" s="76"/>
      <c r="F187" s="76"/>
      <c r="G187" s="76"/>
      <c r="H187" s="76"/>
      <c r="I187" s="76"/>
      <c r="J187" s="214"/>
      <c r="K187" s="157"/>
      <c r="L187" s="76"/>
      <c r="M187" s="78"/>
      <c r="N187" s="76"/>
      <c r="O187" s="76"/>
      <c r="P187" s="76"/>
      <c r="Q187" s="76"/>
    </row>
    <row r="188" spans="1:17" s="91" customFormat="1" ht="12" customHeight="1" x14ac:dyDescent="0.3">
      <c r="A188" s="76"/>
      <c r="B188" s="223"/>
      <c r="C188" s="76"/>
      <c r="D188" s="76"/>
      <c r="E188" s="76"/>
      <c r="F188" s="76"/>
      <c r="G188" s="76"/>
      <c r="H188" s="76"/>
      <c r="I188" s="76"/>
      <c r="J188" s="214"/>
      <c r="K188" s="157"/>
      <c r="L188" s="76"/>
      <c r="M188" s="78"/>
      <c r="N188" s="76"/>
      <c r="O188" s="76"/>
      <c r="P188" s="76"/>
      <c r="Q188" s="76"/>
    </row>
    <row r="189" spans="1:17" s="91" customFormat="1" ht="12" customHeight="1" x14ac:dyDescent="0.3">
      <c r="A189" s="76"/>
      <c r="B189" s="223"/>
      <c r="C189" s="76"/>
      <c r="D189" s="76"/>
      <c r="E189" s="76"/>
      <c r="F189" s="76"/>
      <c r="G189" s="76"/>
      <c r="H189" s="76"/>
      <c r="I189" s="76"/>
      <c r="J189" s="214"/>
      <c r="K189" s="157"/>
      <c r="L189" s="76"/>
      <c r="M189" s="78"/>
      <c r="N189" s="76"/>
      <c r="O189" s="76"/>
      <c r="P189" s="76"/>
      <c r="Q189" s="76"/>
    </row>
    <row r="190" spans="1:17" s="91" customFormat="1" ht="12" customHeight="1" x14ac:dyDescent="0.3">
      <c r="A190" s="76"/>
      <c r="B190" s="223"/>
      <c r="C190" s="76"/>
      <c r="D190" s="76"/>
      <c r="E190" s="76"/>
      <c r="F190" s="76"/>
      <c r="G190" s="76"/>
      <c r="H190" s="76"/>
      <c r="I190" s="76"/>
      <c r="J190" s="214"/>
      <c r="K190" s="157"/>
      <c r="L190" s="76"/>
      <c r="M190" s="78"/>
      <c r="N190" s="76"/>
      <c r="O190" s="76"/>
      <c r="P190" s="76"/>
      <c r="Q190" s="76"/>
    </row>
    <row r="191" spans="1:17" s="91" customFormat="1" ht="12" customHeight="1" x14ac:dyDescent="0.3">
      <c r="A191" s="76"/>
      <c r="B191" s="223"/>
      <c r="C191" s="76"/>
      <c r="D191" s="76"/>
      <c r="E191" s="76"/>
      <c r="F191" s="76"/>
      <c r="G191" s="76"/>
      <c r="H191" s="76"/>
      <c r="I191" s="76"/>
      <c r="J191" s="214"/>
      <c r="K191" s="157"/>
      <c r="L191" s="76"/>
      <c r="M191" s="78"/>
      <c r="N191" s="76"/>
      <c r="O191" s="76"/>
      <c r="P191" s="76"/>
      <c r="Q191" s="76"/>
    </row>
    <row r="192" spans="1:17" s="91" customFormat="1" ht="12" customHeight="1" x14ac:dyDescent="0.3">
      <c r="A192" s="76"/>
      <c r="B192" s="223"/>
      <c r="C192" s="76"/>
      <c r="D192" s="76"/>
      <c r="E192" s="76"/>
      <c r="F192" s="76"/>
      <c r="G192" s="76"/>
      <c r="H192" s="76"/>
      <c r="I192" s="76"/>
      <c r="J192" s="214"/>
      <c r="K192" s="157"/>
      <c r="L192" s="76"/>
      <c r="M192" s="78"/>
      <c r="N192" s="76"/>
      <c r="O192" s="76"/>
      <c r="P192" s="76"/>
      <c r="Q192" s="76"/>
    </row>
    <row r="193" spans="1:17" s="91" customFormat="1" ht="12" customHeight="1" x14ac:dyDescent="0.3">
      <c r="A193" s="76"/>
      <c r="B193" s="223"/>
      <c r="C193" s="76"/>
      <c r="D193" s="76"/>
      <c r="E193" s="76"/>
      <c r="F193" s="76"/>
      <c r="G193" s="76"/>
      <c r="H193" s="76"/>
      <c r="I193" s="76"/>
      <c r="J193" s="214"/>
      <c r="K193" s="157"/>
      <c r="L193" s="76"/>
      <c r="M193" s="78"/>
      <c r="N193" s="76"/>
      <c r="O193" s="76"/>
      <c r="P193" s="76"/>
      <c r="Q193" s="76"/>
    </row>
    <row r="194" spans="1:17" s="91" customFormat="1" ht="12" customHeight="1" x14ac:dyDescent="0.3">
      <c r="A194" s="76"/>
      <c r="B194" s="223"/>
      <c r="C194" s="76"/>
      <c r="D194" s="76"/>
      <c r="E194" s="76"/>
      <c r="F194" s="76"/>
      <c r="G194" s="76"/>
      <c r="H194" s="76"/>
      <c r="I194" s="76"/>
      <c r="J194" s="214"/>
      <c r="K194" s="157"/>
      <c r="L194" s="76"/>
      <c r="M194" s="78"/>
      <c r="N194" s="76"/>
      <c r="O194" s="76"/>
      <c r="P194" s="76"/>
      <c r="Q194" s="76"/>
    </row>
    <row r="195" spans="1:17" s="91" customFormat="1" ht="12" customHeight="1" x14ac:dyDescent="0.3">
      <c r="A195" s="76"/>
      <c r="B195" s="223"/>
      <c r="C195" s="76"/>
      <c r="D195" s="76"/>
      <c r="E195" s="76"/>
      <c r="F195" s="76"/>
      <c r="G195" s="76"/>
      <c r="H195" s="76"/>
      <c r="I195" s="76"/>
      <c r="J195" s="214"/>
      <c r="K195" s="157"/>
      <c r="L195" s="76"/>
      <c r="M195" s="78"/>
      <c r="N195" s="76"/>
      <c r="O195" s="76"/>
      <c r="P195" s="76"/>
      <c r="Q195" s="76"/>
    </row>
    <row r="196" spans="1:17" s="91" customFormat="1" ht="12" customHeight="1" x14ac:dyDescent="0.3">
      <c r="A196" s="76"/>
      <c r="B196" s="223"/>
      <c r="C196" s="76"/>
      <c r="D196" s="76"/>
      <c r="E196" s="76"/>
      <c r="F196" s="76"/>
      <c r="G196" s="76"/>
      <c r="H196" s="76"/>
      <c r="I196" s="76"/>
      <c r="J196" s="214"/>
      <c r="K196" s="157"/>
      <c r="L196" s="76"/>
      <c r="M196" s="78"/>
      <c r="N196" s="76"/>
      <c r="O196" s="76"/>
      <c r="P196" s="76"/>
      <c r="Q196" s="76"/>
    </row>
    <row r="197" spans="1:17" s="91" customFormat="1" ht="12" customHeight="1" x14ac:dyDescent="0.3">
      <c r="A197" s="76"/>
      <c r="B197" s="223"/>
      <c r="C197" s="76"/>
      <c r="D197" s="76"/>
      <c r="E197" s="76"/>
      <c r="F197" s="76"/>
      <c r="G197" s="76"/>
      <c r="H197" s="76"/>
      <c r="I197" s="76"/>
      <c r="J197" s="214"/>
      <c r="K197" s="157"/>
      <c r="L197" s="76"/>
      <c r="M197" s="78"/>
      <c r="N197" s="76"/>
      <c r="O197" s="76"/>
      <c r="P197" s="76"/>
      <c r="Q197" s="76"/>
    </row>
    <row r="198" spans="1:17" s="91" customFormat="1" ht="12" customHeight="1" x14ac:dyDescent="0.3">
      <c r="A198" s="76"/>
      <c r="B198" s="223"/>
      <c r="C198" s="76"/>
      <c r="D198" s="76"/>
      <c r="E198" s="76"/>
      <c r="F198" s="76"/>
      <c r="G198" s="76"/>
      <c r="H198" s="76"/>
      <c r="I198" s="76"/>
      <c r="J198" s="214"/>
      <c r="K198" s="157"/>
      <c r="L198" s="76"/>
      <c r="M198" s="78"/>
      <c r="N198" s="76"/>
      <c r="O198" s="76"/>
      <c r="P198" s="76"/>
      <c r="Q198" s="76"/>
    </row>
    <row r="199" spans="1:17" s="91" customFormat="1" ht="12" customHeight="1" x14ac:dyDescent="0.3">
      <c r="A199" s="76"/>
      <c r="B199" s="223"/>
      <c r="C199" s="76"/>
      <c r="D199" s="76"/>
      <c r="E199" s="76"/>
      <c r="F199" s="76"/>
      <c r="G199" s="76"/>
      <c r="H199" s="76"/>
      <c r="I199" s="76"/>
      <c r="J199" s="214"/>
      <c r="K199" s="157"/>
      <c r="L199" s="76"/>
      <c r="M199" s="78"/>
      <c r="N199" s="76"/>
      <c r="O199" s="76"/>
      <c r="P199" s="76"/>
      <c r="Q199" s="76"/>
    </row>
    <row r="200" spans="1:17" s="91" customFormat="1" ht="12" customHeight="1" x14ac:dyDescent="0.3">
      <c r="A200" s="76"/>
      <c r="B200" s="223"/>
      <c r="C200" s="76"/>
      <c r="D200" s="76"/>
      <c r="E200" s="76"/>
      <c r="F200" s="76"/>
      <c r="G200" s="76"/>
      <c r="H200" s="76"/>
      <c r="I200" s="76"/>
      <c r="J200" s="214"/>
      <c r="K200" s="157"/>
      <c r="L200" s="76"/>
      <c r="M200" s="78"/>
      <c r="N200" s="76"/>
      <c r="O200" s="76"/>
      <c r="P200" s="76"/>
      <c r="Q200" s="76"/>
    </row>
    <row r="201" spans="1:17" s="91" customFormat="1" ht="12" customHeight="1" x14ac:dyDescent="0.3">
      <c r="A201" s="76"/>
      <c r="B201" s="223"/>
      <c r="C201" s="76"/>
      <c r="D201" s="76"/>
      <c r="E201" s="76"/>
      <c r="F201" s="76"/>
      <c r="G201" s="76"/>
      <c r="H201" s="76"/>
      <c r="I201" s="76"/>
      <c r="J201" s="214"/>
      <c r="K201" s="157"/>
      <c r="L201" s="76"/>
      <c r="M201" s="78"/>
      <c r="N201" s="76"/>
      <c r="O201" s="76"/>
      <c r="P201" s="76"/>
      <c r="Q201" s="76"/>
    </row>
    <row r="202" spans="1:17" s="91" customFormat="1" ht="12" customHeight="1" x14ac:dyDescent="0.3">
      <c r="A202" s="76"/>
      <c r="B202" s="223"/>
      <c r="C202" s="76"/>
      <c r="D202" s="76"/>
      <c r="E202" s="76"/>
      <c r="F202" s="76"/>
      <c r="G202" s="76"/>
      <c r="H202" s="76"/>
      <c r="I202" s="76"/>
      <c r="J202" s="214"/>
      <c r="K202" s="157"/>
      <c r="L202" s="76"/>
      <c r="M202" s="78"/>
      <c r="N202" s="76"/>
      <c r="O202" s="76"/>
      <c r="P202" s="76"/>
      <c r="Q202" s="76"/>
    </row>
    <row r="203" spans="1:17" s="91" customFormat="1" ht="12" customHeight="1" x14ac:dyDescent="0.3">
      <c r="A203" s="76"/>
      <c r="B203" s="223"/>
      <c r="C203" s="76"/>
      <c r="D203" s="76"/>
      <c r="E203" s="76"/>
      <c r="F203" s="76"/>
      <c r="G203" s="76"/>
      <c r="H203" s="76"/>
      <c r="I203" s="76"/>
      <c r="J203" s="214"/>
      <c r="K203" s="157"/>
      <c r="L203" s="76"/>
      <c r="M203" s="78"/>
      <c r="N203" s="76"/>
      <c r="O203" s="76"/>
      <c r="P203" s="76"/>
      <c r="Q203" s="76"/>
    </row>
    <row r="204" spans="1:17" s="91" customFormat="1" ht="12" customHeight="1" x14ac:dyDescent="0.3">
      <c r="A204" s="76"/>
      <c r="B204" s="223"/>
      <c r="C204" s="76"/>
      <c r="D204" s="76"/>
      <c r="E204" s="76"/>
      <c r="F204" s="76"/>
      <c r="G204" s="76"/>
      <c r="H204" s="76"/>
      <c r="I204" s="76"/>
      <c r="J204" s="214"/>
      <c r="K204" s="157"/>
      <c r="L204" s="76"/>
      <c r="M204" s="78"/>
      <c r="N204" s="76"/>
      <c r="O204" s="76"/>
      <c r="P204" s="76"/>
      <c r="Q204" s="76"/>
    </row>
    <row r="205" spans="1:17" s="91" customFormat="1" ht="12" customHeight="1" x14ac:dyDescent="0.3">
      <c r="A205" s="76"/>
      <c r="B205" s="223"/>
      <c r="C205" s="76"/>
      <c r="D205" s="76"/>
      <c r="E205" s="76"/>
      <c r="F205" s="76"/>
      <c r="G205" s="76"/>
      <c r="H205" s="76"/>
      <c r="I205" s="76"/>
      <c r="J205" s="214"/>
      <c r="K205" s="157"/>
      <c r="L205" s="76"/>
      <c r="M205" s="78"/>
      <c r="N205" s="76"/>
      <c r="O205" s="76"/>
      <c r="P205" s="76"/>
      <c r="Q205" s="76"/>
    </row>
    <row r="206" spans="1:17" s="91" customFormat="1" ht="12" customHeight="1" x14ac:dyDescent="0.3">
      <c r="A206" s="76"/>
      <c r="B206" s="223"/>
      <c r="C206" s="76"/>
      <c r="D206" s="76"/>
      <c r="E206" s="76"/>
      <c r="F206" s="76"/>
      <c r="G206" s="76"/>
      <c r="H206" s="76"/>
      <c r="I206" s="76"/>
      <c r="J206" s="214"/>
      <c r="K206" s="157"/>
      <c r="L206" s="76"/>
      <c r="M206" s="78"/>
      <c r="N206" s="76"/>
      <c r="O206" s="76"/>
      <c r="P206" s="76"/>
      <c r="Q206" s="76"/>
    </row>
    <row r="207" spans="1:17" s="91" customFormat="1" ht="12" customHeight="1" x14ac:dyDescent="0.3">
      <c r="A207" s="76"/>
      <c r="B207" s="223"/>
      <c r="C207" s="76"/>
      <c r="D207" s="76"/>
      <c r="E207" s="76"/>
      <c r="F207" s="76"/>
      <c r="G207" s="76"/>
      <c r="H207" s="76"/>
      <c r="I207" s="76"/>
      <c r="J207" s="214"/>
      <c r="K207" s="157"/>
      <c r="L207" s="76"/>
      <c r="M207" s="78"/>
      <c r="N207" s="76"/>
      <c r="O207" s="76"/>
      <c r="P207" s="76"/>
      <c r="Q207" s="76"/>
    </row>
    <row r="208" spans="1:17" s="91" customFormat="1" ht="12" customHeight="1" x14ac:dyDescent="0.3">
      <c r="A208" s="76"/>
      <c r="B208" s="223"/>
      <c r="C208" s="76"/>
      <c r="D208" s="76"/>
      <c r="E208" s="76"/>
      <c r="F208" s="76"/>
      <c r="G208" s="76"/>
      <c r="H208" s="76"/>
      <c r="I208" s="76"/>
      <c r="J208" s="214"/>
      <c r="K208" s="157"/>
      <c r="L208" s="76"/>
      <c r="M208" s="78"/>
      <c r="N208" s="76"/>
      <c r="O208" s="76"/>
      <c r="P208" s="76"/>
      <c r="Q208" s="76"/>
    </row>
    <row r="209" spans="1:17" s="91" customFormat="1" ht="12" customHeight="1" x14ac:dyDescent="0.3">
      <c r="A209" s="76"/>
      <c r="B209" s="223"/>
      <c r="C209" s="76"/>
      <c r="D209" s="76"/>
      <c r="E209" s="76"/>
      <c r="F209" s="76"/>
      <c r="G209" s="76"/>
      <c r="H209" s="76"/>
      <c r="I209" s="76"/>
      <c r="J209" s="214"/>
      <c r="K209" s="157"/>
      <c r="L209" s="76"/>
      <c r="M209" s="78"/>
      <c r="N209" s="76"/>
      <c r="O209" s="76"/>
      <c r="P209" s="76"/>
      <c r="Q209" s="76"/>
    </row>
    <row r="210" spans="1:17" s="91" customFormat="1" ht="12" customHeight="1" x14ac:dyDescent="0.3">
      <c r="A210" s="76"/>
      <c r="B210" s="223"/>
      <c r="C210" s="76"/>
      <c r="D210" s="76"/>
      <c r="E210" s="76"/>
      <c r="F210" s="76"/>
      <c r="G210" s="76"/>
      <c r="H210" s="76"/>
      <c r="I210" s="76"/>
      <c r="J210" s="214"/>
      <c r="K210" s="157"/>
      <c r="L210" s="76"/>
      <c r="M210" s="78"/>
      <c r="N210" s="76"/>
      <c r="O210" s="76"/>
      <c r="P210" s="76"/>
      <c r="Q210" s="76"/>
    </row>
    <row r="211" spans="1:17" s="91" customFormat="1" ht="12" customHeight="1" x14ac:dyDescent="0.3">
      <c r="A211" s="76"/>
      <c r="B211" s="223"/>
      <c r="C211" s="76"/>
      <c r="D211" s="76"/>
      <c r="E211" s="76"/>
      <c r="F211" s="76"/>
      <c r="G211" s="76"/>
      <c r="H211" s="76"/>
      <c r="I211" s="76"/>
      <c r="J211" s="214"/>
      <c r="K211" s="157"/>
      <c r="L211" s="76"/>
      <c r="M211" s="78"/>
      <c r="N211" s="76"/>
      <c r="O211" s="76"/>
      <c r="P211" s="76"/>
      <c r="Q211" s="76"/>
    </row>
    <row r="212" spans="1:17" s="91" customFormat="1" ht="12" customHeight="1" x14ac:dyDescent="0.3">
      <c r="A212" s="76"/>
      <c r="B212" s="223"/>
      <c r="C212" s="76"/>
      <c r="D212" s="76"/>
      <c r="E212" s="76"/>
      <c r="F212" s="76"/>
      <c r="G212" s="76"/>
      <c r="H212" s="76"/>
      <c r="I212" s="76"/>
      <c r="J212" s="214"/>
      <c r="K212" s="157"/>
      <c r="L212" s="76"/>
      <c r="M212" s="78"/>
      <c r="N212" s="76"/>
      <c r="O212" s="76"/>
      <c r="P212" s="76"/>
      <c r="Q212" s="76"/>
    </row>
    <row r="213" spans="1:17" s="91" customFormat="1" ht="12" customHeight="1" x14ac:dyDescent="0.3">
      <c r="A213" s="76"/>
      <c r="B213" s="223"/>
      <c r="C213" s="76"/>
      <c r="D213" s="76"/>
      <c r="E213" s="76"/>
      <c r="F213" s="76"/>
      <c r="G213" s="76"/>
      <c r="H213" s="76"/>
      <c r="I213" s="76"/>
      <c r="J213" s="214"/>
      <c r="K213" s="157"/>
      <c r="L213" s="76"/>
      <c r="M213" s="78"/>
      <c r="N213" s="76"/>
      <c r="O213" s="76"/>
      <c r="P213" s="76"/>
      <c r="Q213" s="76"/>
    </row>
    <row r="214" spans="1:17" s="91" customFormat="1" ht="12" customHeight="1" x14ac:dyDescent="0.3">
      <c r="A214" s="76"/>
      <c r="B214" s="223"/>
      <c r="C214" s="76"/>
      <c r="D214" s="76"/>
      <c r="E214" s="76"/>
      <c r="F214" s="76"/>
      <c r="G214" s="76"/>
      <c r="H214" s="76"/>
      <c r="I214" s="76"/>
      <c r="J214" s="214"/>
      <c r="K214" s="157"/>
      <c r="L214" s="76"/>
      <c r="M214" s="78"/>
      <c r="N214" s="76"/>
      <c r="O214" s="76"/>
      <c r="P214" s="76"/>
      <c r="Q214" s="76"/>
    </row>
    <row r="215" spans="1:17" s="91" customFormat="1" ht="12" customHeight="1" x14ac:dyDescent="0.3">
      <c r="A215" s="76"/>
      <c r="B215" s="223"/>
      <c r="C215" s="76"/>
      <c r="D215" s="76"/>
      <c r="E215" s="76"/>
      <c r="F215" s="76"/>
      <c r="G215" s="76"/>
      <c r="H215" s="76"/>
      <c r="I215" s="76"/>
      <c r="J215" s="214"/>
      <c r="K215" s="157"/>
      <c r="L215" s="76"/>
      <c r="M215" s="78"/>
      <c r="N215" s="76"/>
      <c r="O215" s="76"/>
      <c r="P215" s="76"/>
      <c r="Q215" s="76"/>
    </row>
    <row r="216" spans="1:17" s="91" customFormat="1" ht="12" customHeight="1" x14ac:dyDescent="0.3">
      <c r="A216" s="76"/>
      <c r="B216" s="223"/>
      <c r="C216" s="76"/>
      <c r="D216" s="76"/>
      <c r="E216" s="76"/>
      <c r="F216" s="76"/>
      <c r="G216" s="76"/>
      <c r="H216" s="76"/>
      <c r="I216" s="76"/>
      <c r="J216" s="214"/>
      <c r="K216" s="157"/>
      <c r="L216" s="76"/>
      <c r="M216" s="78"/>
      <c r="N216" s="76"/>
      <c r="O216" s="76"/>
      <c r="P216" s="76"/>
      <c r="Q216" s="76"/>
    </row>
    <row r="217" spans="1:17" s="91" customFormat="1" ht="12" customHeight="1" x14ac:dyDescent="0.3">
      <c r="A217" s="76"/>
      <c r="B217" s="223"/>
      <c r="C217" s="76"/>
      <c r="D217" s="76"/>
      <c r="E217" s="76"/>
      <c r="F217" s="76"/>
      <c r="G217" s="76"/>
      <c r="H217" s="76"/>
      <c r="I217" s="76"/>
      <c r="J217" s="214"/>
      <c r="K217" s="157"/>
      <c r="L217" s="76"/>
      <c r="M217" s="78"/>
      <c r="N217" s="76"/>
      <c r="O217" s="76"/>
      <c r="P217" s="76"/>
      <c r="Q217" s="76"/>
    </row>
    <row r="218" spans="1:17" s="91" customFormat="1" ht="12" customHeight="1" x14ac:dyDescent="0.3">
      <c r="A218" s="76"/>
      <c r="B218" s="223"/>
      <c r="C218" s="76"/>
      <c r="D218" s="76"/>
      <c r="E218" s="76"/>
      <c r="F218" s="76"/>
      <c r="G218" s="76"/>
      <c r="H218" s="76"/>
      <c r="I218" s="76"/>
      <c r="J218" s="214"/>
      <c r="K218" s="157"/>
      <c r="L218" s="76"/>
      <c r="M218" s="78"/>
      <c r="N218" s="76"/>
      <c r="O218" s="76"/>
      <c r="P218" s="76"/>
      <c r="Q218" s="76"/>
    </row>
    <row r="219" spans="1:17" s="91" customFormat="1" ht="13.5" customHeight="1" x14ac:dyDescent="0.3">
      <c r="A219" s="76"/>
      <c r="B219" s="223"/>
      <c r="C219" s="76"/>
      <c r="D219" s="76"/>
      <c r="E219" s="76"/>
      <c r="F219" s="76"/>
      <c r="G219" s="76"/>
      <c r="H219" s="76"/>
      <c r="I219" s="76"/>
      <c r="J219" s="214"/>
      <c r="K219" s="157"/>
      <c r="L219" s="76"/>
      <c r="M219" s="78"/>
      <c r="N219" s="76"/>
      <c r="O219" s="76"/>
      <c r="P219" s="76"/>
      <c r="Q219" s="76"/>
    </row>
    <row r="220" spans="1:17" s="91" customFormat="1" ht="12" customHeight="1" x14ac:dyDescent="0.3">
      <c r="A220" s="76"/>
      <c r="B220" s="223"/>
      <c r="C220" s="76"/>
      <c r="D220" s="76"/>
      <c r="E220" s="76"/>
      <c r="F220" s="76"/>
      <c r="G220" s="76"/>
      <c r="H220" s="76"/>
      <c r="I220" s="76"/>
      <c r="J220" s="214"/>
      <c r="K220" s="157"/>
      <c r="L220" s="76"/>
      <c r="M220" s="78"/>
      <c r="N220" s="76"/>
      <c r="O220" s="76"/>
      <c r="P220" s="76"/>
      <c r="Q220" s="76"/>
    </row>
    <row r="221" spans="1:17" s="91" customFormat="1" ht="12" customHeight="1" x14ac:dyDescent="0.3">
      <c r="A221" s="76"/>
      <c r="B221" s="223"/>
      <c r="C221" s="76"/>
      <c r="D221" s="76"/>
      <c r="E221" s="76"/>
      <c r="F221" s="76"/>
      <c r="G221" s="76"/>
      <c r="H221" s="76"/>
      <c r="I221" s="76"/>
      <c r="J221" s="214"/>
      <c r="K221" s="157"/>
      <c r="L221" s="76"/>
      <c r="M221" s="78"/>
      <c r="N221" s="76"/>
      <c r="O221" s="76"/>
      <c r="P221" s="76"/>
      <c r="Q221" s="76"/>
    </row>
    <row r="222" spans="1:17" s="91" customFormat="1" ht="12" customHeight="1" x14ac:dyDescent="0.3">
      <c r="A222" s="76"/>
      <c r="B222" s="223"/>
      <c r="C222" s="76"/>
      <c r="D222" s="76"/>
      <c r="E222" s="76"/>
      <c r="F222" s="76"/>
      <c r="G222" s="76"/>
      <c r="H222" s="76"/>
      <c r="I222" s="76"/>
      <c r="J222" s="214"/>
      <c r="K222" s="157"/>
      <c r="L222" s="76"/>
      <c r="M222" s="78"/>
      <c r="N222" s="76"/>
      <c r="O222" s="76"/>
      <c r="P222" s="76"/>
      <c r="Q222" s="76"/>
    </row>
    <row r="223" spans="1:17" s="91" customFormat="1" ht="12" customHeight="1" x14ac:dyDescent="0.3">
      <c r="A223" s="76"/>
      <c r="B223" s="223"/>
      <c r="C223" s="76"/>
      <c r="D223" s="76"/>
      <c r="E223" s="76"/>
      <c r="F223" s="76"/>
      <c r="G223" s="76"/>
      <c r="H223" s="76"/>
      <c r="I223" s="76"/>
      <c r="J223" s="214"/>
      <c r="K223" s="157"/>
      <c r="L223" s="76"/>
      <c r="M223" s="78"/>
      <c r="N223" s="76"/>
      <c r="O223" s="76"/>
      <c r="P223" s="76"/>
      <c r="Q223" s="76"/>
    </row>
    <row r="224" spans="1:17" s="91" customFormat="1" ht="12" customHeight="1" x14ac:dyDescent="0.3">
      <c r="A224" s="76"/>
      <c r="B224" s="223"/>
      <c r="C224" s="76"/>
      <c r="D224" s="76"/>
      <c r="E224" s="76"/>
      <c r="F224" s="76"/>
      <c r="G224" s="76"/>
      <c r="H224" s="76"/>
      <c r="I224" s="76"/>
      <c r="J224" s="214"/>
      <c r="K224" s="157"/>
      <c r="L224" s="76"/>
      <c r="M224" s="78"/>
      <c r="N224" s="76"/>
      <c r="O224" s="76"/>
      <c r="P224" s="76"/>
      <c r="Q224" s="76"/>
    </row>
    <row r="225" spans="1:17" s="91" customFormat="1" ht="12" customHeight="1" x14ac:dyDescent="0.3">
      <c r="A225" s="76"/>
      <c r="B225" s="223"/>
      <c r="C225" s="76"/>
      <c r="D225" s="76"/>
      <c r="E225" s="76"/>
      <c r="F225" s="76"/>
      <c r="G225" s="76"/>
      <c r="H225" s="76"/>
      <c r="I225" s="76"/>
      <c r="J225" s="214"/>
      <c r="K225" s="157"/>
      <c r="L225" s="76"/>
      <c r="M225" s="78"/>
      <c r="N225" s="76"/>
      <c r="O225" s="76"/>
      <c r="P225" s="76"/>
      <c r="Q225" s="76"/>
    </row>
    <row r="226" spans="1:17" s="91" customFormat="1" ht="12" customHeight="1" x14ac:dyDescent="0.3">
      <c r="A226" s="76"/>
      <c r="B226" s="223"/>
      <c r="C226" s="76"/>
      <c r="D226" s="76"/>
      <c r="E226" s="76"/>
      <c r="F226" s="76"/>
      <c r="G226" s="76"/>
      <c r="H226" s="76"/>
      <c r="I226" s="76"/>
      <c r="J226" s="214"/>
      <c r="K226" s="157"/>
      <c r="L226" s="76"/>
      <c r="M226" s="78"/>
      <c r="N226" s="76"/>
      <c r="O226" s="76"/>
      <c r="P226" s="76"/>
      <c r="Q226" s="76"/>
    </row>
    <row r="227" spans="1:17" s="91" customFormat="1" ht="12" customHeight="1" x14ac:dyDescent="0.3">
      <c r="A227" s="76"/>
      <c r="B227" s="223"/>
      <c r="C227" s="76"/>
      <c r="D227" s="76"/>
      <c r="E227" s="76"/>
      <c r="F227" s="76"/>
      <c r="G227" s="76"/>
      <c r="H227" s="76"/>
      <c r="I227" s="76"/>
      <c r="J227" s="214"/>
      <c r="K227" s="157"/>
      <c r="L227" s="76"/>
      <c r="M227" s="78"/>
      <c r="N227" s="76"/>
      <c r="O227" s="76"/>
      <c r="P227" s="76"/>
      <c r="Q227" s="76"/>
    </row>
    <row r="228" spans="1:17" s="91" customFormat="1" ht="12" customHeight="1" x14ac:dyDescent="0.3">
      <c r="A228" s="76"/>
      <c r="B228" s="223"/>
      <c r="C228" s="76"/>
      <c r="D228" s="76"/>
      <c r="E228" s="76"/>
      <c r="F228" s="76"/>
      <c r="G228" s="76"/>
      <c r="H228" s="76"/>
      <c r="I228" s="76"/>
      <c r="J228" s="214"/>
      <c r="K228" s="157"/>
      <c r="L228" s="76"/>
      <c r="M228" s="78"/>
      <c r="N228" s="76"/>
      <c r="O228" s="76"/>
      <c r="P228" s="76"/>
      <c r="Q228" s="76"/>
    </row>
    <row r="229" spans="1:17" s="91" customFormat="1" ht="12" customHeight="1" x14ac:dyDescent="0.3">
      <c r="A229" s="76"/>
      <c r="B229" s="223"/>
      <c r="C229" s="76"/>
      <c r="D229" s="76"/>
      <c r="E229" s="76"/>
      <c r="F229" s="76"/>
      <c r="G229" s="76"/>
      <c r="H229" s="76"/>
      <c r="I229" s="76"/>
      <c r="J229" s="214"/>
      <c r="K229" s="157"/>
      <c r="L229" s="76"/>
      <c r="M229" s="78"/>
      <c r="N229" s="76"/>
      <c r="O229" s="76"/>
      <c r="P229" s="76"/>
      <c r="Q229" s="76"/>
    </row>
    <row r="230" spans="1:17" s="91" customFormat="1" ht="12" customHeight="1" x14ac:dyDescent="0.3">
      <c r="A230" s="76"/>
      <c r="B230" s="223"/>
      <c r="C230" s="76"/>
      <c r="D230" s="76"/>
      <c r="E230" s="76"/>
      <c r="F230" s="76"/>
      <c r="G230" s="76"/>
      <c r="H230" s="76"/>
      <c r="I230" s="76"/>
      <c r="J230" s="214"/>
      <c r="K230" s="157"/>
      <c r="L230" s="76"/>
      <c r="M230" s="78"/>
      <c r="N230" s="76"/>
      <c r="O230" s="76"/>
      <c r="P230" s="76"/>
      <c r="Q230" s="76"/>
    </row>
    <row r="231" spans="1:17" s="91" customFormat="1" ht="12" customHeight="1" x14ac:dyDescent="0.3">
      <c r="A231" s="109"/>
      <c r="B231" s="223"/>
      <c r="C231" s="76"/>
      <c r="D231" s="76"/>
      <c r="E231" s="76"/>
      <c r="F231" s="76"/>
      <c r="G231" s="76"/>
      <c r="H231" s="76"/>
      <c r="I231" s="76"/>
      <c r="J231" s="214"/>
      <c r="K231" s="157"/>
      <c r="L231" s="76"/>
      <c r="M231" s="78"/>
      <c r="N231" s="76"/>
      <c r="O231" s="76"/>
      <c r="P231" s="76"/>
      <c r="Q231" s="76"/>
    </row>
    <row r="232" spans="1:17" s="91" customFormat="1" ht="12" customHeight="1" x14ac:dyDescent="0.3">
      <c r="A232" s="109"/>
      <c r="B232" s="223"/>
      <c r="C232" s="76"/>
      <c r="D232" s="76"/>
      <c r="E232" s="76"/>
      <c r="F232" s="76"/>
      <c r="G232" s="76"/>
      <c r="H232" s="76"/>
      <c r="I232" s="76"/>
      <c r="J232" s="214"/>
      <c r="K232" s="157"/>
      <c r="L232" s="76"/>
      <c r="M232" s="78"/>
      <c r="N232" s="76"/>
      <c r="O232" s="76"/>
      <c r="P232" s="76"/>
      <c r="Q232" s="76"/>
    </row>
    <row r="233" spans="1:17" s="91" customFormat="1" ht="12" customHeight="1" x14ac:dyDescent="0.3">
      <c r="A233" s="109"/>
      <c r="B233" s="109"/>
      <c r="C233" s="109"/>
      <c r="D233" s="110"/>
      <c r="E233" s="76"/>
      <c r="F233" s="76"/>
      <c r="G233" s="76"/>
      <c r="H233" s="76"/>
      <c r="I233" s="76"/>
      <c r="J233" s="214"/>
      <c r="K233" s="157"/>
      <c r="L233" s="76"/>
      <c r="M233" s="78"/>
      <c r="N233" s="76"/>
      <c r="O233" s="76"/>
      <c r="P233" s="76"/>
      <c r="Q233" s="76"/>
    </row>
    <row r="234" spans="1:17" s="91" customFormat="1" ht="12" customHeight="1" x14ac:dyDescent="0.3">
      <c r="A234" s="109"/>
      <c r="B234" s="109"/>
      <c r="C234" s="109"/>
      <c r="D234" s="110"/>
      <c r="E234" s="76"/>
      <c r="F234" s="76"/>
      <c r="G234" s="76"/>
      <c r="H234" s="76"/>
      <c r="I234" s="76"/>
      <c r="J234" s="214"/>
      <c r="K234" s="157"/>
      <c r="L234" s="76"/>
      <c r="M234" s="78"/>
      <c r="N234" s="76"/>
      <c r="O234" s="76"/>
      <c r="P234" s="76"/>
      <c r="Q234" s="76"/>
    </row>
    <row r="235" spans="1:17" s="91" customFormat="1" ht="12" customHeight="1" x14ac:dyDescent="0.3">
      <c r="A235" s="109"/>
      <c r="B235" s="109"/>
      <c r="C235" s="109"/>
      <c r="D235" s="110"/>
      <c r="E235" s="76"/>
      <c r="F235" s="76"/>
      <c r="G235" s="76"/>
      <c r="H235" s="76"/>
      <c r="I235" s="76"/>
      <c r="J235" s="214"/>
      <c r="K235" s="157"/>
      <c r="L235" s="76"/>
      <c r="M235" s="78"/>
      <c r="N235" s="76"/>
      <c r="O235" s="76"/>
      <c r="P235" s="76"/>
      <c r="Q235" s="76"/>
    </row>
    <row r="236" spans="1:17" s="91" customFormat="1" ht="12" customHeight="1" x14ac:dyDescent="0.3">
      <c r="A236" s="109"/>
      <c r="B236" s="109"/>
      <c r="C236" s="109"/>
      <c r="D236" s="110"/>
      <c r="E236" s="76"/>
      <c r="F236" s="76"/>
      <c r="G236" s="76"/>
      <c r="H236" s="76"/>
      <c r="I236" s="76"/>
      <c r="J236" s="214"/>
      <c r="K236" s="157"/>
      <c r="L236" s="76"/>
      <c r="M236" s="78"/>
      <c r="N236" s="76"/>
      <c r="O236" s="76"/>
      <c r="P236" s="76"/>
      <c r="Q236" s="76"/>
    </row>
    <row r="237" spans="1:17" s="91" customFormat="1" ht="12" customHeight="1" x14ac:dyDescent="0.3">
      <c r="A237" s="109"/>
      <c r="B237" s="109"/>
      <c r="C237" s="109"/>
      <c r="D237" s="109"/>
      <c r="E237" s="76"/>
      <c r="F237" s="88"/>
      <c r="G237" s="88"/>
      <c r="H237" s="88"/>
      <c r="I237" s="88"/>
      <c r="J237" s="76"/>
      <c r="K237" s="157"/>
      <c r="L237" s="76"/>
      <c r="M237" s="78"/>
      <c r="N237" s="76"/>
      <c r="O237" s="76"/>
      <c r="P237" s="76"/>
      <c r="Q237" s="76"/>
    </row>
    <row r="238" spans="1:17" s="91" customFormat="1" ht="12" customHeight="1" x14ac:dyDescent="0.3">
      <c r="A238" s="107"/>
      <c r="B238" s="109"/>
      <c r="C238" s="109"/>
      <c r="D238" s="109"/>
      <c r="E238" s="76"/>
      <c r="F238" s="76"/>
      <c r="G238" s="76"/>
      <c r="H238" s="76"/>
      <c r="I238" s="76"/>
      <c r="J238" s="76"/>
      <c r="K238" s="157"/>
      <c r="L238" s="76"/>
      <c r="M238" s="78"/>
      <c r="N238" s="76"/>
      <c r="O238" s="76"/>
      <c r="P238" s="76"/>
      <c r="Q238" s="76"/>
    </row>
    <row r="239" spans="1:17" s="91" customFormat="1" ht="12" customHeight="1" x14ac:dyDescent="0.3">
      <c r="A239" s="295" t="e">
        <f>(F15-#REF!)*12%</f>
        <v>#REF!</v>
      </c>
      <c r="B239" s="109"/>
      <c r="C239" s="109"/>
      <c r="D239" s="296"/>
      <c r="E239" s="297"/>
      <c r="F239" s="297"/>
      <c r="G239" s="297"/>
      <c r="H239" s="297"/>
      <c r="I239" s="298"/>
      <c r="J239" s="76"/>
      <c r="K239" s="157"/>
      <c r="L239" s="76"/>
      <c r="M239" s="78"/>
      <c r="N239" s="76"/>
      <c r="O239" s="76"/>
      <c r="P239" s="76"/>
      <c r="Q239" s="76"/>
    </row>
    <row r="240" spans="1:17" s="91" customFormat="1" ht="12" customHeight="1" x14ac:dyDescent="0.3">
      <c r="A240" s="299"/>
      <c r="B240" s="109"/>
      <c r="C240" s="109"/>
      <c r="D240" s="296"/>
      <c r="E240" s="297"/>
      <c r="F240" s="297"/>
      <c r="G240" s="297"/>
      <c r="H240" s="297"/>
      <c r="I240" s="300"/>
      <c r="J240" s="76"/>
      <c r="K240" s="157"/>
      <c r="L240" s="76"/>
      <c r="M240" s="78"/>
      <c r="N240" s="76"/>
      <c r="O240" s="76"/>
      <c r="P240" s="76"/>
      <c r="Q240" s="76"/>
    </row>
    <row r="241" spans="1:17" s="91" customFormat="1" ht="12" customHeight="1" x14ac:dyDescent="0.3">
      <c r="A241" s="107"/>
      <c r="B241" s="295"/>
      <c r="C241" s="107"/>
      <c r="D241" s="301"/>
      <c r="E241" s="302"/>
      <c r="F241" s="303"/>
      <c r="G241" s="303"/>
      <c r="H241" s="303"/>
      <c r="I241" s="298"/>
      <c r="J241" s="76"/>
      <c r="K241" s="157"/>
      <c r="L241" s="76"/>
      <c r="M241" s="78"/>
      <c r="N241" s="76"/>
      <c r="O241" s="76"/>
      <c r="P241" s="76"/>
      <c r="Q241" s="76"/>
    </row>
    <row r="242" spans="1:17" s="91" customFormat="1" ht="17.25" customHeight="1" x14ac:dyDescent="0.3">
      <c r="B242" s="107"/>
      <c r="C242" s="107"/>
      <c r="D242" s="301"/>
      <c r="F242" s="303"/>
      <c r="G242" s="303"/>
      <c r="H242" s="303"/>
      <c r="I242" s="304"/>
      <c r="J242" s="76"/>
      <c r="K242" s="157"/>
      <c r="L242" s="76"/>
      <c r="M242" s="78"/>
      <c r="N242" s="76"/>
      <c r="O242" s="76"/>
      <c r="P242" s="76"/>
      <c r="Q242" s="76"/>
    </row>
    <row r="243" spans="1:17" s="91" customFormat="1" ht="15.75" customHeight="1" x14ac:dyDescent="0.3">
      <c r="B243" s="107"/>
      <c r="C243" s="107"/>
      <c r="D243" s="301"/>
      <c r="E243" s="302"/>
      <c r="F243" s="302"/>
      <c r="G243" s="302"/>
      <c r="H243" s="302"/>
      <c r="J243" s="76"/>
      <c r="K243" s="157"/>
      <c r="L243" s="76"/>
      <c r="M243" s="78"/>
      <c r="N243" s="76"/>
      <c r="O243" s="76"/>
      <c r="P243" s="76"/>
      <c r="Q243" s="76"/>
    </row>
    <row r="244" spans="1:17" s="91" customFormat="1" ht="12.75" customHeight="1" x14ac:dyDescent="0.3">
      <c r="D244" s="305"/>
      <c r="E244" s="302"/>
      <c r="F244" s="302"/>
      <c r="G244" s="302"/>
      <c r="H244" s="302"/>
      <c r="J244" s="76"/>
      <c r="K244" s="157"/>
      <c r="L244" s="76"/>
      <c r="M244" s="78"/>
      <c r="N244" s="76"/>
      <c r="O244" s="76"/>
      <c r="P244" s="76"/>
      <c r="Q244" s="76"/>
    </row>
    <row r="245" spans="1:17" s="91" customFormat="1" ht="12.75" customHeight="1" x14ac:dyDescent="0.3">
      <c r="D245" s="305"/>
      <c r="E245" s="302"/>
      <c r="F245" s="302"/>
      <c r="G245" s="302"/>
      <c r="H245" s="302"/>
      <c r="K245" s="157"/>
      <c r="L245" s="76"/>
      <c r="M245" s="78"/>
      <c r="N245" s="76"/>
      <c r="O245" s="76"/>
      <c r="P245" s="76"/>
      <c r="Q245" s="76"/>
    </row>
    <row r="246" spans="1:17" s="91" customFormat="1" ht="12.75" customHeight="1" x14ac:dyDescent="0.3">
      <c r="D246" s="305"/>
      <c r="E246" s="302"/>
      <c r="F246" s="302"/>
      <c r="G246" s="302"/>
      <c r="H246" s="302"/>
      <c r="K246" s="157"/>
      <c r="L246" s="76"/>
      <c r="M246" s="78"/>
      <c r="N246" s="76"/>
      <c r="O246" s="76"/>
      <c r="P246" s="76"/>
      <c r="Q246" s="76"/>
    </row>
    <row r="247" spans="1:17" s="91" customFormat="1" ht="12.75" customHeight="1" x14ac:dyDescent="0.3">
      <c r="D247" s="305"/>
      <c r="E247" s="302"/>
      <c r="F247" s="302"/>
      <c r="G247" s="302"/>
      <c r="H247" s="302"/>
      <c r="J247" s="229"/>
      <c r="K247" s="157"/>
      <c r="L247" s="76"/>
      <c r="M247" s="78"/>
      <c r="N247" s="76"/>
      <c r="O247" s="76"/>
      <c r="P247" s="76"/>
      <c r="Q247" s="76"/>
    </row>
    <row r="248" spans="1:17" s="91" customFormat="1" ht="12.75" customHeight="1" x14ac:dyDescent="0.3">
      <c r="D248" s="305"/>
      <c r="E248" s="302"/>
      <c r="F248" s="302"/>
      <c r="G248" s="302"/>
      <c r="H248" s="302"/>
      <c r="J248" s="298"/>
      <c r="K248" s="157"/>
      <c r="L248" s="76"/>
      <c r="M248" s="78"/>
      <c r="N248" s="76"/>
      <c r="O248" s="76"/>
      <c r="P248" s="76"/>
      <c r="Q248" s="76"/>
    </row>
    <row r="249" spans="1:17" s="91" customFormat="1" ht="12.75" customHeight="1" x14ac:dyDescent="0.3">
      <c r="D249" s="305"/>
      <c r="E249" s="302"/>
      <c r="F249" s="302"/>
      <c r="G249" s="302"/>
      <c r="H249" s="302"/>
      <c r="J249" s="300"/>
      <c r="K249" s="157"/>
      <c r="L249" s="76"/>
      <c r="M249" s="78"/>
      <c r="N249" s="76"/>
      <c r="O249" s="76"/>
      <c r="P249" s="76"/>
      <c r="Q249" s="76"/>
    </row>
    <row r="250" spans="1:17" s="91" customFormat="1" ht="12.75" customHeight="1" x14ac:dyDescent="0.3">
      <c r="D250" s="305"/>
      <c r="E250" s="302"/>
      <c r="F250" s="302"/>
      <c r="G250" s="302"/>
      <c r="H250" s="302"/>
      <c r="J250" s="298"/>
      <c r="K250" s="157"/>
      <c r="L250" s="76"/>
      <c r="M250" s="78"/>
      <c r="N250" s="76"/>
      <c r="O250" s="76"/>
      <c r="P250" s="76"/>
      <c r="Q250" s="76"/>
    </row>
    <row r="251" spans="1:17" s="91" customFormat="1" ht="12.75" customHeight="1" x14ac:dyDescent="0.3">
      <c r="D251" s="305"/>
      <c r="E251" s="302"/>
      <c r="F251" s="302"/>
      <c r="G251" s="302"/>
      <c r="H251" s="302"/>
      <c r="J251" s="304"/>
      <c r="K251" s="157"/>
      <c r="L251" s="76"/>
      <c r="M251" s="78"/>
      <c r="N251" s="76"/>
      <c r="O251" s="76"/>
      <c r="P251" s="76"/>
      <c r="Q251" s="76"/>
    </row>
    <row r="252" spans="1:17" s="91" customFormat="1" ht="12.75" customHeight="1" x14ac:dyDescent="0.3">
      <c r="D252" s="305"/>
      <c r="E252" s="302"/>
      <c r="F252" s="302"/>
      <c r="G252" s="302"/>
      <c r="H252" s="302"/>
      <c r="K252" s="157"/>
      <c r="L252" s="76"/>
      <c r="M252" s="78"/>
      <c r="N252" s="76"/>
      <c r="O252" s="76"/>
      <c r="P252" s="76"/>
      <c r="Q252" s="76"/>
    </row>
    <row r="253" spans="1:17" s="91" customFormat="1" ht="12.75" customHeight="1" x14ac:dyDescent="0.3">
      <c r="D253" s="305"/>
      <c r="E253" s="302"/>
      <c r="F253" s="302"/>
      <c r="G253" s="302"/>
      <c r="H253" s="302"/>
      <c r="K253" s="76"/>
      <c r="L253" s="76"/>
      <c r="M253" s="78"/>
      <c r="N253" s="76"/>
      <c r="O253" s="76"/>
      <c r="P253" s="76"/>
      <c r="Q253" s="76"/>
    </row>
    <row r="254" spans="1:17" s="91" customFormat="1" ht="12.75" customHeight="1" x14ac:dyDescent="0.3">
      <c r="D254" s="305"/>
      <c r="E254" s="302"/>
      <c r="F254" s="302"/>
      <c r="G254" s="302"/>
      <c r="H254" s="302"/>
      <c r="K254" s="76"/>
      <c r="L254" s="76"/>
      <c r="M254" s="88"/>
      <c r="N254" s="76"/>
      <c r="O254" s="76"/>
      <c r="P254" s="76"/>
      <c r="Q254" s="76"/>
    </row>
    <row r="255" spans="1:17" s="91" customFormat="1" ht="12.75" customHeight="1" x14ac:dyDescent="0.3">
      <c r="D255" s="305"/>
      <c r="E255" s="302"/>
      <c r="F255" s="302"/>
      <c r="G255" s="302"/>
      <c r="H255" s="302"/>
      <c r="K255" s="76"/>
      <c r="L255" s="76"/>
      <c r="M255" s="88"/>
      <c r="N255" s="76"/>
      <c r="O255" s="76"/>
      <c r="P255" s="76"/>
      <c r="Q255" s="76"/>
    </row>
    <row r="256" spans="1:17" s="91" customFormat="1" ht="12.75" customHeight="1" x14ac:dyDescent="0.3">
      <c r="D256" s="305"/>
      <c r="E256" s="302"/>
      <c r="F256" s="302"/>
      <c r="G256" s="302"/>
      <c r="H256" s="302"/>
      <c r="K256" s="76"/>
      <c r="L256" s="76"/>
      <c r="M256" s="88"/>
      <c r="N256" s="76"/>
      <c r="O256" s="76"/>
      <c r="P256" s="76"/>
      <c r="Q256" s="76"/>
    </row>
    <row r="257" spans="4:17" s="91" customFormat="1" ht="12.75" customHeight="1" x14ac:dyDescent="0.3">
      <c r="D257" s="305"/>
      <c r="E257" s="302"/>
      <c r="F257" s="302"/>
      <c r="G257" s="302"/>
      <c r="H257" s="302"/>
      <c r="K257" s="418"/>
      <c r="L257" s="418"/>
      <c r="M257" s="418"/>
      <c r="N257" s="76"/>
      <c r="O257" s="76"/>
      <c r="P257" s="418"/>
      <c r="Q257" s="418"/>
    </row>
    <row r="258" spans="4:17" s="91" customFormat="1" ht="12.75" customHeight="1" x14ac:dyDescent="0.3">
      <c r="D258" s="305"/>
      <c r="E258" s="302"/>
      <c r="F258" s="302"/>
      <c r="G258" s="302"/>
      <c r="H258" s="302"/>
      <c r="K258" s="76"/>
      <c r="L258" s="419"/>
      <c r="M258" s="419"/>
      <c r="N258" s="76"/>
      <c r="O258" s="76"/>
      <c r="P258" s="76"/>
      <c r="Q258" s="76"/>
    </row>
    <row r="259" spans="4:17" s="91" customFormat="1" ht="12.75" customHeight="1" x14ac:dyDescent="0.3">
      <c r="D259" s="305"/>
      <c r="E259" s="302"/>
      <c r="F259" s="302"/>
      <c r="G259" s="302"/>
      <c r="H259" s="302"/>
      <c r="K259" s="298"/>
      <c r="L259" s="116"/>
      <c r="M259" s="76"/>
      <c r="N259" s="76"/>
      <c r="O259" s="76"/>
      <c r="P259" s="76"/>
      <c r="Q259" s="76"/>
    </row>
    <row r="260" spans="4:17" s="91" customFormat="1" ht="12.75" customHeight="1" x14ac:dyDescent="0.3">
      <c r="D260" s="305"/>
      <c r="E260" s="302"/>
      <c r="F260" s="302"/>
      <c r="G260" s="302"/>
      <c r="H260" s="302"/>
      <c r="K260" s="300"/>
      <c r="L260" s="116"/>
      <c r="M260" s="76"/>
      <c r="N260" s="76"/>
      <c r="O260" s="76"/>
      <c r="P260" s="76"/>
      <c r="Q260" s="76"/>
    </row>
    <row r="261" spans="4:17" s="91" customFormat="1" ht="12.75" customHeight="1" x14ac:dyDescent="0.3">
      <c r="D261" s="305"/>
      <c r="E261" s="302"/>
      <c r="F261" s="302"/>
      <c r="G261" s="302"/>
      <c r="H261" s="302"/>
      <c r="K261" s="298"/>
      <c r="L261" s="304"/>
    </row>
    <row r="262" spans="4:17" s="91" customFormat="1" ht="12.75" customHeight="1" x14ac:dyDescent="0.3">
      <c r="D262" s="305"/>
      <c r="E262" s="302"/>
      <c r="F262" s="302"/>
      <c r="G262" s="302"/>
      <c r="H262" s="302"/>
      <c r="K262" s="229"/>
      <c r="L262" s="304"/>
    </row>
    <row r="263" spans="4:17" s="91" customFormat="1" ht="12.75" customHeight="1" x14ac:dyDescent="0.3">
      <c r="D263" s="305"/>
      <c r="E263" s="302"/>
      <c r="F263" s="302"/>
      <c r="G263" s="302"/>
      <c r="H263" s="302"/>
      <c r="K263" s="93"/>
    </row>
    <row r="264" spans="4:17" s="91" customFormat="1" ht="12.75" customHeight="1" x14ac:dyDescent="0.3">
      <c r="D264" s="305"/>
      <c r="E264" s="302"/>
      <c r="F264" s="302"/>
      <c r="G264" s="302"/>
      <c r="H264" s="302"/>
      <c r="K264" s="93"/>
    </row>
    <row r="265" spans="4:17" s="91" customFormat="1" ht="12.75" customHeight="1" x14ac:dyDescent="0.3">
      <c r="D265" s="305"/>
      <c r="E265" s="302"/>
      <c r="F265" s="302"/>
      <c r="G265" s="302"/>
      <c r="H265" s="302"/>
      <c r="K265" s="93"/>
    </row>
    <row r="266" spans="4:17" s="91" customFormat="1" ht="12.75" customHeight="1" x14ac:dyDescent="0.3">
      <c r="D266" s="305"/>
      <c r="E266" s="302"/>
      <c r="F266" s="302"/>
      <c r="G266" s="302"/>
      <c r="H266" s="302"/>
      <c r="K266" s="93"/>
    </row>
    <row r="267" spans="4:17" s="91" customFormat="1" ht="12.75" customHeight="1" x14ac:dyDescent="0.3">
      <c r="D267" s="305"/>
      <c r="E267" s="302"/>
      <c r="F267" s="302"/>
      <c r="G267" s="302"/>
      <c r="H267" s="302"/>
      <c r="K267" s="93"/>
    </row>
    <row r="268" spans="4:17" s="91" customFormat="1" ht="12.75" customHeight="1" x14ac:dyDescent="0.3">
      <c r="D268" s="305"/>
      <c r="E268" s="302"/>
      <c r="F268" s="302"/>
      <c r="G268" s="302"/>
      <c r="H268" s="302"/>
      <c r="K268" s="93"/>
    </row>
    <row r="269" spans="4:17" s="91" customFormat="1" ht="12.75" customHeight="1" x14ac:dyDescent="0.3">
      <c r="D269" s="305"/>
      <c r="E269" s="302"/>
      <c r="F269" s="302"/>
      <c r="G269" s="302"/>
      <c r="H269" s="302"/>
      <c r="K269" s="93"/>
    </row>
    <row r="270" spans="4:17" s="91" customFormat="1" ht="12.75" customHeight="1" x14ac:dyDescent="0.3">
      <c r="D270" s="305"/>
      <c r="E270" s="302"/>
      <c r="F270" s="302"/>
      <c r="G270" s="302"/>
      <c r="H270" s="302"/>
      <c r="K270" s="93"/>
    </row>
    <row r="271" spans="4:17" s="91" customFormat="1" ht="12.75" customHeight="1" x14ac:dyDescent="0.3">
      <c r="D271" s="305"/>
      <c r="E271" s="302"/>
      <c r="F271" s="302"/>
      <c r="G271" s="302"/>
      <c r="H271" s="302"/>
      <c r="K271" s="93"/>
    </row>
    <row r="272" spans="4:17" s="91" customFormat="1" ht="12.75" customHeight="1" x14ac:dyDescent="0.3">
      <c r="D272" s="305"/>
      <c r="E272" s="302"/>
      <c r="F272" s="302"/>
      <c r="G272" s="302"/>
      <c r="H272" s="302"/>
      <c r="K272" s="93"/>
    </row>
    <row r="273" spans="4:12" s="91" customFormat="1" ht="12.75" customHeight="1" x14ac:dyDescent="0.3">
      <c r="D273" s="305"/>
      <c r="E273" s="302"/>
      <c r="F273" s="302"/>
      <c r="G273" s="302"/>
      <c r="H273" s="302"/>
      <c r="K273" s="93"/>
    </row>
    <row r="274" spans="4:12" s="91" customFormat="1" ht="12.75" customHeight="1" x14ac:dyDescent="0.3">
      <c r="D274" s="305"/>
      <c r="E274" s="302"/>
      <c r="F274" s="302"/>
      <c r="G274" s="302"/>
      <c r="H274" s="302"/>
      <c r="K274" s="93"/>
    </row>
    <row r="275" spans="4:12" s="91" customFormat="1" ht="12.75" customHeight="1" x14ac:dyDescent="0.3">
      <c r="D275" s="305"/>
      <c r="E275" s="302"/>
      <c r="F275" s="302"/>
      <c r="G275" s="302"/>
      <c r="H275" s="302"/>
      <c r="L275" s="93"/>
    </row>
    <row r="276" spans="4:12" s="91" customFormat="1" ht="12.75" customHeight="1" x14ac:dyDescent="0.3">
      <c r="D276" s="305"/>
      <c r="E276" s="302"/>
      <c r="F276" s="302"/>
      <c r="G276" s="302"/>
      <c r="H276" s="302"/>
      <c r="L276" s="93"/>
    </row>
    <row r="277" spans="4:12" s="91" customFormat="1" ht="12.75" customHeight="1" x14ac:dyDescent="0.3">
      <c r="D277" s="305"/>
      <c r="E277" s="302"/>
      <c r="F277" s="302"/>
      <c r="G277" s="302"/>
      <c r="H277" s="302"/>
      <c r="L277" s="93"/>
    </row>
    <row r="278" spans="4:12" s="91" customFormat="1" ht="12.75" customHeight="1" x14ac:dyDescent="0.3">
      <c r="D278" s="305"/>
      <c r="E278" s="302"/>
      <c r="F278" s="302"/>
      <c r="G278" s="302"/>
      <c r="H278" s="302"/>
      <c r="L278" s="93"/>
    </row>
    <row r="279" spans="4:12" s="91" customFormat="1" ht="12.75" customHeight="1" x14ac:dyDescent="0.3">
      <c r="D279" s="305"/>
      <c r="E279" s="302"/>
      <c r="F279" s="302"/>
      <c r="G279" s="302"/>
      <c r="H279" s="302"/>
      <c r="L279" s="93"/>
    </row>
    <row r="280" spans="4:12" s="91" customFormat="1" ht="12.75" customHeight="1" x14ac:dyDescent="0.3">
      <c r="D280" s="305"/>
      <c r="E280" s="302"/>
      <c r="F280" s="302"/>
      <c r="G280" s="302"/>
      <c r="H280" s="302"/>
      <c r="L280" s="93"/>
    </row>
    <row r="281" spans="4:12" s="91" customFormat="1" ht="12.75" customHeight="1" x14ac:dyDescent="0.3">
      <c r="D281" s="305"/>
      <c r="E281" s="302"/>
      <c r="F281" s="302"/>
      <c r="G281" s="302"/>
      <c r="H281" s="302"/>
      <c r="L281" s="93"/>
    </row>
    <row r="282" spans="4:12" s="91" customFormat="1" ht="12.75" customHeight="1" x14ac:dyDescent="0.3">
      <c r="D282" s="305"/>
      <c r="E282" s="302"/>
      <c r="F282" s="302"/>
      <c r="G282" s="302"/>
      <c r="H282" s="302"/>
      <c r="L282" s="93"/>
    </row>
    <row r="283" spans="4:12" s="91" customFormat="1" ht="12.75" customHeight="1" x14ac:dyDescent="0.3">
      <c r="D283" s="305"/>
      <c r="E283" s="302"/>
      <c r="F283" s="302"/>
      <c r="G283" s="302"/>
      <c r="H283" s="302"/>
      <c r="L283" s="93"/>
    </row>
    <row r="284" spans="4:12" s="91" customFormat="1" ht="12.75" customHeight="1" x14ac:dyDescent="0.3">
      <c r="D284" s="305"/>
      <c r="E284" s="302"/>
      <c r="F284" s="302"/>
      <c r="G284" s="302"/>
      <c r="H284" s="302"/>
      <c r="L284" s="93"/>
    </row>
    <row r="285" spans="4:12" s="91" customFormat="1" ht="12.75" customHeight="1" x14ac:dyDescent="0.3">
      <c r="D285" s="305"/>
      <c r="E285" s="302"/>
      <c r="F285" s="302"/>
      <c r="G285" s="302"/>
      <c r="H285" s="302"/>
      <c r="L285" s="93"/>
    </row>
    <row r="286" spans="4:12" s="91" customFormat="1" ht="12.75" customHeight="1" x14ac:dyDescent="0.3">
      <c r="D286" s="305"/>
      <c r="E286" s="302"/>
      <c r="F286" s="302"/>
      <c r="G286" s="302"/>
      <c r="H286" s="302"/>
      <c r="L286" s="93"/>
    </row>
    <row r="287" spans="4:12" s="91" customFormat="1" ht="12.75" customHeight="1" x14ac:dyDescent="0.3">
      <c r="D287" s="305"/>
      <c r="E287" s="302"/>
      <c r="F287" s="302"/>
      <c r="G287" s="302"/>
      <c r="H287" s="302"/>
      <c r="L287" s="93"/>
    </row>
    <row r="288" spans="4:12" s="91" customFormat="1" ht="12.75" customHeight="1" x14ac:dyDescent="0.3">
      <c r="D288" s="305"/>
      <c r="E288" s="302"/>
      <c r="F288" s="302"/>
      <c r="G288" s="302"/>
      <c r="H288" s="302"/>
      <c r="L288" s="93"/>
    </row>
    <row r="289" spans="4:12" s="91" customFormat="1" ht="12.75" customHeight="1" x14ac:dyDescent="0.3">
      <c r="D289" s="305"/>
      <c r="E289" s="302"/>
      <c r="F289" s="302"/>
      <c r="G289" s="302"/>
      <c r="H289" s="302"/>
      <c r="L289" s="93"/>
    </row>
    <row r="290" spans="4:12" s="91" customFormat="1" ht="12.75" customHeight="1" x14ac:dyDescent="0.3">
      <c r="D290" s="305"/>
      <c r="E290" s="302"/>
      <c r="F290" s="302"/>
      <c r="G290" s="302"/>
      <c r="H290" s="302"/>
      <c r="L290" s="93"/>
    </row>
    <row r="291" spans="4:12" s="91" customFormat="1" ht="12.75" customHeight="1" x14ac:dyDescent="0.3">
      <c r="D291" s="305"/>
      <c r="E291" s="302"/>
      <c r="F291" s="302"/>
      <c r="G291" s="302"/>
      <c r="H291" s="302"/>
      <c r="L291" s="93"/>
    </row>
    <row r="292" spans="4:12" s="91" customFormat="1" ht="12.75" customHeight="1" x14ac:dyDescent="0.3">
      <c r="D292" s="305"/>
      <c r="E292" s="302"/>
      <c r="F292" s="302"/>
      <c r="G292" s="302"/>
      <c r="H292" s="302"/>
      <c r="L292" s="93"/>
    </row>
    <row r="293" spans="4:12" s="91" customFormat="1" ht="12.75" customHeight="1" x14ac:dyDescent="0.3">
      <c r="D293" s="305"/>
      <c r="E293" s="302"/>
      <c r="F293" s="302"/>
      <c r="G293" s="302"/>
      <c r="H293" s="302"/>
      <c r="L293" s="93"/>
    </row>
    <row r="294" spans="4:12" s="91" customFormat="1" ht="12.75" customHeight="1" x14ac:dyDescent="0.3">
      <c r="D294" s="305"/>
      <c r="E294" s="302"/>
      <c r="F294" s="302"/>
      <c r="G294" s="302"/>
      <c r="H294" s="302"/>
      <c r="L294" s="93"/>
    </row>
    <row r="295" spans="4:12" s="91" customFormat="1" ht="12.75" customHeight="1" x14ac:dyDescent="0.3">
      <c r="D295" s="305"/>
      <c r="E295" s="302"/>
      <c r="F295" s="302"/>
      <c r="G295" s="302"/>
      <c r="H295" s="302"/>
      <c r="L295" s="93"/>
    </row>
    <row r="296" spans="4:12" s="91" customFormat="1" ht="12.75" customHeight="1" x14ac:dyDescent="0.3">
      <c r="D296" s="305"/>
      <c r="E296" s="302"/>
      <c r="F296" s="302"/>
      <c r="G296" s="302"/>
      <c r="H296" s="302"/>
      <c r="L296" s="93"/>
    </row>
    <row r="297" spans="4:12" s="91" customFormat="1" ht="12.75" customHeight="1" x14ac:dyDescent="0.3">
      <c r="D297" s="305"/>
      <c r="E297" s="302"/>
      <c r="F297" s="302"/>
      <c r="G297" s="302"/>
      <c r="H297" s="302"/>
      <c r="L297" s="93"/>
    </row>
    <row r="298" spans="4:12" s="91" customFormat="1" ht="12.75" customHeight="1" x14ac:dyDescent="0.3">
      <c r="D298" s="305"/>
      <c r="E298" s="302"/>
      <c r="F298" s="302"/>
      <c r="G298" s="302"/>
      <c r="H298" s="302"/>
      <c r="L298" s="93"/>
    </row>
    <row r="299" spans="4:12" s="91" customFormat="1" ht="12.75" customHeight="1" x14ac:dyDescent="0.3">
      <c r="D299" s="305"/>
      <c r="E299" s="302"/>
      <c r="F299" s="302"/>
      <c r="G299" s="302"/>
      <c r="H299" s="302"/>
      <c r="L299" s="93"/>
    </row>
    <row r="300" spans="4:12" s="91" customFormat="1" ht="12.75" customHeight="1" x14ac:dyDescent="0.3">
      <c r="D300" s="305"/>
      <c r="E300" s="302"/>
      <c r="F300" s="302"/>
      <c r="G300" s="302"/>
      <c r="H300" s="302"/>
      <c r="L300" s="93"/>
    </row>
    <row r="301" spans="4:12" s="91" customFormat="1" ht="12.75" customHeight="1" x14ac:dyDescent="0.3">
      <c r="D301" s="305"/>
      <c r="E301" s="302"/>
      <c r="F301" s="302"/>
      <c r="G301" s="302"/>
      <c r="H301" s="302"/>
      <c r="L301" s="93"/>
    </row>
    <row r="302" spans="4:12" s="91" customFormat="1" ht="12.75" customHeight="1" x14ac:dyDescent="0.3">
      <c r="D302" s="305"/>
      <c r="E302" s="302"/>
      <c r="F302" s="302"/>
      <c r="G302" s="302"/>
      <c r="H302" s="302"/>
      <c r="L302" s="93"/>
    </row>
    <row r="303" spans="4:12" s="91" customFormat="1" ht="12.75" customHeight="1" x14ac:dyDescent="0.3">
      <c r="D303" s="305"/>
      <c r="E303" s="302"/>
      <c r="F303" s="302"/>
      <c r="G303" s="302"/>
      <c r="H303" s="302"/>
      <c r="L303" s="93"/>
    </row>
    <row r="304" spans="4:12" s="91" customFormat="1" ht="12.75" customHeight="1" x14ac:dyDescent="0.3">
      <c r="D304" s="305"/>
      <c r="E304" s="302"/>
      <c r="F304" s="302"/>
      <c r="G304" s="302"/>
      <c r="H304" s="302"/>
      <c r="L304" s="93"/>
    </row>
    <row r="305" spans="4:12" s="91" customFormat="1" ht="12.75" customHeight="1" x14ac:dyDescent="0.3">
      <c r="D305" s="305"/>
      <c r="E305" s="302"/>
      <c r="F305" s="302"/>
      <c r="G305" s="302"/>
      <c r="H305" s="302"/>
      <c r="L305" s="93"/>
    </row>
    <row r="306" spans="4:12" s="91" customFormat="1" ht="12.75" customHeight="1" x14ac:dyDescent="0.3">
      <c r="D306" s="305"/>
      <c r="E306" s="302"/>
      <c r="F306" s="302"/>
      <c r="G306" s="302"/>
      <c r="H306" s="302"/>
      <c r="L306" s="93"/>
    </row>
    <row r="307" spans="4:12" s="91" customFormat="1" ht="12.75" customHeight="1" x14ac:dyDescent="0.3">
      <c r="D307" s="305"/>
      <c r="E307" s="302"/>
      <c r="F307" s="302"/>
      <c r="G307" s="302"/>
      <c r="H307" s="302"/>
      <c r="L307" s="93"/>
    </row>
    <row r="308" spans="4:12" s="91" customFormat="1" ht="12.75" customHeight="1" x14ac:dyDescent="0.3">
      <c r="D308" s="305"/>
      <c r="E308" s="302"/>
      <c r="F308" s="302"/>
      <c r="G308" s="302"/>
      <c r="H308" s="302"/>
      <c r="L308" s="93"/>
    </row>
    <row r="309" spans="4:12" s="91" customFormat="1" ht="12.75" customHeight="1" x14ac:dyDescent="0.3">
      <c r="D309" s="305"/>
      <c r="E309" s="302"/>
      <c r="F309" s="302"/>
      <c r="G309" s="302"/>
      <c r="H309" s="302"/>
      <c r="L309" s="93"/>
    </row>
    <row r="310" spans="4:12" s="91" customFormat="1" ht="12.75" customHeight="1" x14ac:dyDescent="0.3">
      <c r="D310" s="305"/>
      <c r="E310" s="302"/>
      <c r="F310" s="302"/>
      <c r="G310" s="302"/>
      <c r="H310" s="302"/>
      <c r="L310" s="93"/>
    </row>
    <row r="311" spans="4:12" s="91" customFormat="1" ht="12.75" customHeight="1" x14ac:dyDescent="0.3">
      <c r="D311" s="305"/>
      <c r="E311" s="302"/>
      <c r="F311" s="302"/>
      <c r="G311" s="302"/>
      <c r="H311" s="302"/>
      <c r="L311" s="93"/>
    </row>
    <row r="312" spans="4:12" s="91" customFormat="1" ht="12.75" customHeight="1" x14ac:dyDescent="0.3">
      <c r="D312" s="305"/>
      <c r="E312" s="302"/>
      <c r="F312" s="302"/>
      <c r="G312" s="302"/>
      <c r="H312" s="302"/>
      <c r="L312" s="93"/>
    </row>
    <row r="313" spans="4:12" s="91" customFormat="1" ht="12.75" customHeight="1" x14ac:dyDescent="0.3">
      <c r="D313" s="305"/>
      <c r="E313" s="302"/>
      <c r="F313" s="302"/>
      <c r="G313" s="302"/>
      <c r="H313" s="302"/>
      <c r="L313" s="93"/>
    </row>
    <row r="314" spans="4:12" s="91" customFormat="1" ht="12.75" customHeight="1" x14ac:dyDescent="0.3">
      <c r="D314" s="305"/>
      <c r="E314" s="302"/>
      <c r="F314" s="302"/>
      <c r="G314" s="302"/>
      <c r="H314" s="302"/>
      <c r="L314" s="93"/>
    </row>
    <row r="315" spans="4:12" s="91" customFormat="1" ht="12.75" customHeight="1" x14ac:dyDescent="0.3">
      <c r="D315" s="305"/>
      <c r="E315" s="302"/>
      <c r="F315" s="302"/>
      <c r="G315" s="302"/>
      <c r="H315" s="302"/>
      <c r="L315" s="93"/>
    </row>
    <row r="316" spans="4:12" s="91" customFormat="1" ht="12.75" customHeight="1" x14ac:dyDescent="0.3">
      <c r="D316" s="305"/>
      <c r="E316" s="302"/>
      <c r="F316" s="302"/>
      <c r="G316" s="302"/>
      <c r="H316" s="302"/>
      <c r="L316" s="93"/>
    </row>
    <row r="317" spans="4:12" s="91" customFormat="1" ht="12.75" customHeight="1" x14ac:dyDescent="0.3">
      <c r="D317" s="305"/>
      <c r="E317" s="302"/>
      <c r="F317" s="302"/>
      <c r="G317" s="302"/>
      <c r="H317" s="302"/>
      <c r="L317" s="93"/>
    </row>
    <row r="318" spans="4:12" s="91" customFormat="1" ht="12.75" customHeight="1" x14ac:dyDescent="0.3">
      <c r="D318" s="305"/>
      <c r="E318" s="302"/>
      <c r="F318" s="302"/>
      <c r="G318" s="302"/>
      <c r="H318" s="302"/>
      <c r="L318" s="93"/>
    </row>
    <row r="319" spans="4:12" s="91" customFormat="1" ht="12.75" customHeight="1" x14ac:dyDescent="0.3">
      <c r="D319" s="305"/>
      <c r="E319" s="302"/>
      <c r="F319" s="302"/>
      <c r="G319" s="302"/>
      <c r="H319" s="302"/>
      <c r="L319" s="93"/>
    </row>
    <row r="320" spans="4:12" s="91" customFormat="1" ht="12.75" customHeight="1" x14ac:dyDescent="0.3">
      <c r="D320" s="305"/>
      <c r="E320" s="302"/>
      <c r="F320" s="302"/>
      <c r="G320" s="302"/>
      <c r="H320" s="302"/>
      <c r="L320" s="93"/>
    </row>
    <row r="321" spans="4:12" s="91" customFormat="1" ht="12.75" customHeight="1" x14ac:dyDescent="0.3">
      <c r="D321" s="305"/>
      <c r="E321" s="302"/>
      <c r="F321" s="302"/>
      <c r="G321" s="302"/>
      <c r="H321" s="302"/>
      <c r="L321" s="93"/>
    </row>
    <row r="322" spans="4:12" s="91" customFormat="1" ht="12.75" customHeight="1" x14ac:dyDescent="0.3">
      <c r="D322" s="305"/>
      <c r="E322" s="302"/>
      <c r="F322" s="302"/>
      <c r="G322" s="302"/>
      <c r="H322" s="302"/>
      <c r="L322" s="93"/>
    </row>
    <row r="323" spans="4:12" s="91" customFormat="1" ht="12.75" customHeight="1" x14ac:dyDescent="0.3">
      <c r="D323" s="305"/>
      <c r="E323" s="302"/>
      <c r="F323" s="302"/>
      <c r="G323" s="302"/>
      <c r="H323" s="302"/>
      <c r="L323" s="93"/>
    </row>
    <row r="324" spans="4:12" s="91" customFormat="1" ht="12.75" customHeight="1" x14ac:dyDescent="0.3">
      <c r="D324" s="305"/>
      <c r="E324" s="302"/>
      <c r="F324" s="302"/>
      <c r="G324" s="302"/>
      <c r="H324" s="302"/>
      <c r="L324" s="93"/>
    </row>
    <row r="325" spans="4:12" s="91" customFormat="1" ht="12.75" customHeight="1" x14ac:dyDescent="0.3">
      <c r="D325" s="305"/>
      <c r="E325" s="302"/>
      <c r="F325" s="302"/>
      <c r="G325" s="302"/>
      <c r="H325" s="302"/>
      <c r="L325" s="93"/>
    </row>
    <row r="326" spans="4:12" s="91" customFormat="1" ht="12.75" customHeight="1" x14ac:dyDescent="0.3">
      <c r="D326" s="305"/>
      <c r="E326" s="302"/>
      <c r="F326" s="302"/>
      <c r="G326" s="302"/>
      <c r="H326" s="302"/>
      <c r="L326" s="93"/>
    </row>
    <row r="327" spans="4:12" s="91" customFormat="1" ht="12.75" customHeight="1" x14ac:dyDescent="0.3">
      <c r="D327" s="305"/>
      <c r="E327" s="302"/>
      <c r="F327" s="302"/>
      <c r="G327" s="302"/>
      <c r="H327" s="302"/>
      <c r="L327" s="93"/>
    </row>
    <row r="328" spans="4:12" s="91" customFormat="1" ht="12.75" customHeight="1" x14ac:dyDescent="0.3">
      <c r="D328" s="305"/>
      <c r="E328" s="302"/>
      <c r="F328" s="302"/>
      <c r="G328" s="302"/>
      <c r="H328" s="302"/>
      <c r="L328" s="93"/>
    </row>
    <row r="329" spans="4:12" s="91" customFormat="1" ht="12.75" customHeight="1" x14ac:dyDescent="0.3">
      <c r="D329" s="305"/>
      <c r="E329" s="302"/>
      <c r="F329" s="302"/>
      <c r="G329" s="302"/>
      <c r="H329" s="302"/>
      <c r="L329" s="93"/>
    </row>
    <row r="330" spans="4:12" s="91" customFormat="1" ht="12.75" customHeight="1" x14ac:dyDescent="0.3">
      <c r="D330" s="305"/>
      <c r="E330" s="302"/>
      <c r="F330" s="302"/>
      <c r="G330" s="302"/>
      <c r="H330" s="302"/>
      <c r="L330" s="93"/>
    </row>
    <row r="331" spans="4:12" s="91" customFormat="1" ht="12.75" customHeight="1" x14ac:dyDescent="0.3">
      <c r="D331" s="305"/>
      <c r="E331" s="302"/>
      <c r="F331" s="302"/>
      <c r="G331" s="302"/>
      <c r="H331" s="302"/>
      <c r="L331" s="93"/>
    </row>
    <row r="332" spans="4:12" s="91" customFormat="1" ht="12.75" customHeight="1" x14ac:dyDescent="0.3">
      <c r="D332" s="305"/>
      <c r="E332" s="302"/>
      <c r="F332" s="302"/>
      <c r="G332" s="302"/>
      <c r="H332" s="302"/>
      <c r="L332" s="93"/>
    </row>
    <row r="333" spans="4:12" s="91" customFormat="1" ht="12.75" customHeight="1" x14ac:dyDescent="0.3">
      <c r="D333" s="305"/>
      <c r="E333" s="302"/>
      <c r="F333" s="302"/>
      <c r="G333" s="302"/>
      <c r="H333" s="302"/>
      <c r="L333" s="93"/>
    </row>
    <row r="334" spans="4:12" s="91" customFormat="1" ht="12.75" customHeight="1" x14ac:dyDescent="0.3">
      <c r="D334" s="305"/>
      <c r="E334" s="302"/>
      <c r="F334" s="302"/>
      <c r="G334" s="302"/>
      <c r="H334" s="302"/>
      <c r="L334" s="93"/>
    </row>
    <row r="335" spans="4:12" s="91" customFormat="1" ht="12.75" customHeight="1" x14ac:dyDescent="0.3">
      <c r="D335" s="305"/>
      <c r="E335" s="302"/>
      <c r="F335" s="302"/>
      <c r="G335" s="302"/>
      <c r="H335" s="302"/>
      <c r="L335" s="93"/>
    </row>
    <row r="336" spans="4:12" s="91" customFormat="1" ht="12.75" customHeight="1" x14ac:dyDescent="0.3">
      <c r="D336" s="305"/>
      <c r="E336" s="302"/>
      <c r="F336" s="302"/>
      <c r="G336" s="302"/>
      <c r="H336" s="302"/>
      <c r="L336" s="93"/>
    </row>
    <row r="337" spans="4:12" s="91" customFormat="1" ht="12.75" customHeight="1" x14ac:dyDescent="0.3">
      <c r="D337" s="305"/>
      <c r="E337" s="302"/>
      <c r="F337" s="302"/>
      <c r="G337" s="302"/>
      <c r="H337" s="302"/>
      <c r="L337" s="93"/>
    </row>
    <row r="338" spans="4:12" s="91" customFormat="1" ht="12.75" customHeight="1" x14ac:dyDescent="0.3">
      <c r="D338" s="305"/>
      <c r="E338" s="302"/>
      <c r="F338" s="302"/>
      <c r="G338" s="302"/>
      <c r="H338" s="302"/>
      <c r="L338" s="93"/>
    </row>
    <row r="339" spans="4:12" s="91" customFormat="1" ht="12.75" customHeight="1" x14ac:dyDescent="0.3">
      <c r="D339" s="305"/>
      <c r="E339" s="302"/>
      <c r="F339" s="302"/>
      <c r="G339" s="302"/>
      <c r="H339" s="302"/>
      <c r="L339" s="93"/>
    </row>
    <row r="340" spans="4:12" s="91" customFormat="1" ht="12.75" customHeight="1" x14ac:dyDescent="0.3">
      <c r="D340" s="305"/>
      <c r="E340" s="302"/>
      <c r="F340" s="302"/>
      <c r="G340" s="302"/>
      <c r="H340" s="302"/>
      <c r="L340" s="93"/>
    </row>
    <row r="341" spans="4:12" s="91" customFormat="1" ht="12.75" customHeight="1" x14ac:dyDescent="0.3">
      <c r="D341" s="305"/>
      <c r="E341" s="302"/>
      <c r="F341" s="302"/>
      <c r="G341" s="302"/>
      <c r="H341" s="302"/>
      <c r="L341" s="93"/>
    </row>
    <row r="342" spans="4:12" s="91" customFormat="1" ht="12.75" customHeight="1" x14ac:dyDescent="0.3">
      <c r="D342" s="305"/>
      <c r="E342" s="302"/>
      <c r="F342" s="302"/>
      <c r="G342" s="302"/>
      <c r="H342" s="302"/>
      <c r="L342" s="93"/>
    </row>
    <row r="343" spans="4:12" s="91" customFormat="1" ht="12.75" customHeight="1" x14ac:dyDescent="0.3">
      <c r="D343" s="305"/>
      <c r="E343" s="302"/>
      <c r="F343" s="302"/>
      <c r="G343" s="302"/>
      <c r="H343" s="302"/>
      <c r="L343" s="93"/>
    </row>
    <row r="344" spans="4:12" s="91" customFormat="1" ht="12.75" customHeight="1" x14ac:dyDescent="0.3">
      <c r="D344" s="305"/>
      <c r="E344" s="302"/>
      <c r="F344" s="302"/>
      <c r="G344" s="302"/>
      <c r="H344" s="302"/>
      <c r="L344" s="93"/>
    </row>
    <row r="345" spans="4:12" s="91" customFormat="1" ht="12.75" customHeight="1" x14ac:dyDescent="0.3">
      <c r="D345" s="305"/>
      <c r="E345" s="302"/>
      <c r="F345" s="302"/>
      <c r="G345" s="302"/>
      <c r="H345" s="302"/>
      <c r="L345" s="93"/>
    </row>
    <row r="346" spans="4:12" s="91" customFormat="1" ht="12.75" customHeight="1" x14ac:dyDescent="0.3">
      <c r="D346" s="305"/>
      <c r="E346" s="302"/>
      <c r="F346" s="302"/>
      <c r="G346" s="302"/>
      <c r="H346" s="302"/>
      <c r="L346" s="93"/>
    </row>
    <row r="347" spans="4:12" s="91" customFormat="1" ht="12.75" customHeight="1" x14ac:dyDescent="0.3">
      <c r="D347" s="305"/>
      <c r="E347" s="302"/>
      <c r="F347" s="302"/>
      <c r="G347" s="302"/>
      <c r="H347" s="302"/>
      <c r="L347" s="93"/>
    </row>
    <row r="348" spans="4:12" s="91" customFormat="1" ht="12.75" customHeight="1" x14ac:dyDescent="0.3">
      <c r="D348" s="305"/>
      <c r="E348" s="302"/>
      <c r="F348" s="302"/>
      <c r="G348" s="302"/>
      <c r="H348" s="302"/>
      <c r="L348" s="93"/>
    </row>
    <row r="349" spans="4:12" s="91" customFormat="1" ht="12.75" customHeight="1" x14ac:dyDescent="0.3">
      <c r="D349" s="305"/>
      <c r="E349" s="302"/>
      <c r="F349" s="302"/>
      <c r="G349" s="302"/>
      <c r="H349" s="302"/>
      <c r="L349" s="93"/>
    </row>
    <row r="350" spans="4:12" s="91" customFormat="1" ht="12.75" customHeight="1" x14ac:dyDescent="0.3">
      <c r="D350" s="305"/>
      <c r="E350" s="302"/>
      <c r="F350" s="302"/>
      <c r="G350" s="302"/>
      <c r="H350" s="302"/>
      <c r="L350" s="93"/>
    </row>
    <row r="351" spans="4:12" s="91" customFormat="1" ht="12.75" customHeight="1" x14ac:dyDescent="0.3">
      <c r="D351" s="305"/>
      <c r="E351" s="302"/>
      <c r="F351" s="302"/>
      <c r="G351" s="302"/>
      <c r="H351" s="302"/>
      <c r="L351" s="93"/>
    </row>
    <row r="352" spans="4:12" s="91" customFormat="1" ht="12.75" customHeight="1" x14ac:dyDescent="0.3">
      <c r="D352" s="305"/>
      <c r="E352" s="302"/>
      <c r="F352" s="302"/>
      <c r="G352" s="302"/>
      <c r="H352" s="302"/>
      <c r="L352" s="93"/>
    </row>
    <row r="353" spans="4:12" s="91" customFormat="1" ht="12.75" customHeight="1" x14ac:dyDescent="0.3">
      <c r="D353" s="305"/>
      <c r="E353" s="302"/>
      <c r="F353" s="302"/>
      <c r="G353" s="302"/>
      <c r="H353" s="302"/>
      <c r="L353" s="93"/>
    </row>
    <row r="354" spans="4:12" s="91" customFormat="1" ht="12.75" customHeight="1" x14ac:dyDescent="0.3">
      <c r="D354" s="305"/>
      <c r="E354" s="302"/>
      <c r="F354" s="302"/>
      <c r="G354" s="302"/>
      <c r="H354" s="302"/>
      <c r="L354" s="93"/>
    </row>
    <row r="355" spans="4:12" s="91" customFormat="1" ht="12.75" customHeight="1" x14ac:dyDescent="0.3">
      <c r="D355" s="305"/>
      <c r="E355" s="302"/>
      <c r="F355" s="302"/>
      <c r="G355" s="302"/>
      <c r="H355" s="302"/>
      <c r="L355" s="93"/>
    </row>
    <row r="356" spans="4:12" s="91" customFormat="1" ht="12.75" customHeight="1" x14ac:dyDescent="0.3">
      <c r="D356" s="305"/>
      <c r="E356" s="302"/>
      <c r="F356" s="302"/>
      <c r="G356" s="302"/>
      <c r="H356" s="302"/>
      <c r="L356" s="93"/>
    </row>
    <row r="357" spans="4:12" s="91" customFormat="1" ht="12.75" customHeight="1" x14ac:dyDescent="0.3">
      <c r="D357" s="305"/>
      <c r="E357" s="302"/>
      <c r="F357" s="302"/>
      <c r="G357" s="302"/>
      <c r="H357" s="302"/>
      <c r="L357" s="93"/>
    </row>
    <row r="358" spans="4:12" s="91" customFormat="1" ht="12.75" customHeight="1" x14ac:dyDescent="0.3">
      <c r="D358" s="305"/>
      <c r="E358" s="302"/>
      <c r="F358" s="302"/>
      <c r="G358" s="302"/>
      <c r="H358" s="302"/>
      <c r="L358" s="93"/>
    </row>
    <row r="359" spans="4:12" s="91" customFormat="1" ht="12.75" customHeight="1" x14ac:dyDescent="0.3">
      <c r="D359" s="305"/>
      <c r="E359" s="302"/>
      <c r="F359" s="302"/>
      <c r="G359" s="302"/>
      <c r="H359" s="302"/>
      <c r="L359" s="93"/>
    </row>
    <row r="360" spans="4:12" s="91" customFormat="1" ht="12.75" customHeight="1" x14ac:dyDescent="0.3">
      <c r="D360" s="305"/>
      <c r="E360" s="302"/>
      <c r="F360" s="302"/>
      <c r="G360" s="302"/>
      <c r="H360" s="302"/>
      <c r="L360" s="93"/>
    </row>
    <row r="361" spans="4:12" s="91" customFormat="1" ht="12.75" customHeight="1" x14ac:dyDescent="0.3">
      <c r="D361" s="305"/>
      <c r="E361" s="302"/>
      <c r="F361" s="302"/>
      <c r="G361" s="302"/>
      <c r="H361" s="302"/>
      <c r="L361" s="93"/>
    </row>
    <row r="362" spans="4:12" s="91" customFormat="1" ht="12.75" customHeight="1" x14ac:dyDescent="0.3">
      <c r="D362" s="305"/>
      <c r="E362" s="302"/>
      <c r="F362" s="302"/>
      <c r="G362" s="302"/>
      <c r="H362" s="302"/>
      <c r="L362" s="93"/>
    </row>
    <row r="363" spans="4:12" s="91" customFormat="1" ht="12.75" customHeight="1" x14ac:dyDescent="0.3">
      <c r="D363" s="305"/>
      <c r="E363" s="302"/>
      <c r="F363" s="302"/>
      <c r="G363" s="302"/>
      <c r="H363" s="302"/>
      <c r="L363" s="93"/>
    </row>
    <row r="364" spans="4:12" s="91" customFormat="1" ht="12.75" customHeight="1" x14ac:dyDescent="0.3">
      <c r="D364" s="305"/>
      <c r="E364" s="302"/>
      <c r="F364" s="302"/>
      <c r="G364" s="302"/>
      <c r="H364" s="302"/>
      <c r="L364" s="93"/>
    </row>
    <row r="365" spans="4:12" s="91" customFormat="1" ht="12.75" customHeight="1" x14ac:dyDescent="0.3">
      <c r="D365" s="305"/>
      <c r="E365" s="302"/>
      <c r="F365" s="302"/>
      <c r="G365" s="302"/>
      <c r="H365" s="302"/>
      <c r="L365" s="93"/>
    </row>
    <row r="366" spans="4:12" s="91" customFormat="1" ht="12.75" customHeight="1" x14ac:dyDescent="0.3">
      <c r="D366" s="305"/>
      <c r="E366" s="302"/>
      <c r="F366" s="302"/>
      <c r="G366" s="302"/>
      <c r="H366" s="302"/>
      <c r="L366" s="93"/>
    </row>
    <row r="367" spans="4:12" s="91" customFormat="1" ht="12.75" customHeight="1" x14ac:dyDescent="0.3">
      <c r="D367" s="305"/>
      <c r="E367" s="302"/>
      <c r="F367" s="302"/>
      <c r="G367" s="302"/>
      <c r="H367" s="302"/>
      <c r="L367" s="93"/>
    </row>
    <row r="368" spans="4:12" s="91" customFormat="1" ht="12.75" customHeight="1" x14ac:dyDescent="0.3">
      <c r="D368" s="305"/>
      <c r="E368" s="302"/>
      <c r="F368" s="302"/>
      <c r="G368" s="302"/>
      <c r="H368" s="302"/>
      <c r="L368" s="93"/>
    </row>
    <row r="369" spans="4:34" s="91" customFormat="1" ht="12.75" customHeight="1" x14ac:dyDescent="0.3">
      <c r="D369" s="305"/>
      <c r="E369" s="302"/>
      <c r="F369" s="302"/>
      <c r="G369" s="302"/>
      <c r="H369" s="302"/>
      <c r="L369" s="93"/>
    </row>
    <row r="370" spans="4:34" s="91" customFormat="1" ht="12.75" customHeight="1" x14ac:dyDescent="0.3">
      <c r="D370" s="305"/>
      <c r="E370" s="302"/>
      <c r="F370" s="302"/>
      <c r="G370" s="302"/>
      <c r="H370" s="302"/>
      <c r="L370" s="93"/>
    </row>
    <row r="371" spans="4:34" s="91" customFormat="1" ht="12.75" customHeight="1" x14ac:dyDescent="0.3">
      <c r="D371" s="305"/>
      <c r="E371" s="302"/>
      <c r="F371" s="302"/>
      <c r="G371" s="302"/>
      <c r="H371" s="302"/>
      <c r="L371" s="93"/>
    </row>
    <row r="372" spans="4:34" s="91" customFormat="1" ht="12.75" customHeight="1" x14ac:dyDescent="0.3">
      <c r="D372" s="305"/>
      <c r="E372" s="302"/>
      <c r="F372" s="302"/>
      <c r="G372" s="302"/>
      <c r="H372" s="302"/>
      <c r="L372" s="93"/>
    </row>
    <row r="373" spans="4:34" s="91" customFormat="1" ht="12.75" customHeight="1" x14ac:dyDescent="0.3">
      <c r="D373" s="305"/>
      <c r="E373" s="302"/>
      <c r="F373" s="302"/>
      <c r="G373" s="302"/>
      <c r="H373" s="302"/>
      <c r="L373" s="93"/>
    </row>
    <row r="374" spans="4:34" s="91" customFormat="1" ht="12.75" customHeight="1" x14ac:dyDescent="0.3">
      <c r="D374" s="305"/>
      <c r="E374" s="302"/>
      <c r="F374" s="302"/>
      <c r="G374" s="302"/>
      <c r="H374" s="302"/>
      <c r="L374" s="93"/>
    </row>
    <row r="375" spans="4:34" s="91" customFormat="1" ht="12.75" customHeight="1" x14ac:dyDescent="0.3">
      <c r="D375" s="305"/>
      <c r="E375" s="302"/>
      <c r="F375" s="302"/>
      <c r="G375" s="302"/>
      <c r="H375" s="302"/>
      <c r="L375" s="93"/>
    </row>
    <row r="376" spans="4:34" s="91" customFormat="1" ht="12.75" customHeight="1" x14ac:dyDescent="0.3">
      <c r="D376" s="305"/>
      <c r="E376" s="302"/>
      <c r="F376" s="302"/>
      <c r="G376" s="302"/>
      <c r="H376" s="302"/>
      <c r="L376" s="93"/>
    </row>
    <row r="377" spans="4:34" s="91" customFormat="1" ht="12.75" customHeight="1" x14ac:dyDescent="0.3">
      <c r="D377" s="305"/>
      <c r="E377" s="302"/>
      <c r="F377" s="302"/>
      <c r="G377" s="302"/>
      <c r="H377" s="302"/>
      <c r="L377" s="93"/>
    </row>
    <row r="378" spans="4:34" s="91" customFormat="1" ht="12.75" customHeight="1" x14ac:dyDescent="0.3">
      <c r="D378" s="305"/>
      <c r="E378" s="302"/>
      <c r="F378" s="302"/>
      <c r="G378" s="302"/>
      <c r="H378" s="302"/>
      <c r="L378" s="93"/>
    </row>
    <row r="379" spans="4:34" s="91" customFormat="1" ht="12.75" customHeight="1" x14ac:dyDescent="0.3">
      <c r="D379" s="305"/>
      <c r="E379" s="302"/>
      <c r="F379" s="302"/>
      <c r="G379" s="302"/>
      <c r="H379" s="302"/>
      <c r="L379" s="93"/>
    </row>
    <row r="380" spans="4:34" s="91" customFormat="1" ht="12.75" customHeight="1" x14ac:dyDescent="0.3">
      <c r="D380" s="305"/>
      <c r="E380" s="302"/>
      <c r="F380" s="302"/>
      <c r="G380" s="302"/>
      <c r="H380" s="302"/>
      <c r="L380" s="93"/>
    </row>
    <row r="381" spans="4:34" s="91" customFormat="1" ht="12.75" customHeight="1" x14ac:dyDescent="0.3">
      <c r="D381" s="305"/>
      <c r="E381" s="302"/>
      <c r="F381" s="302"/>
      <c r="G381" s="302"/>
      <c r="H381" s="302"/>
      <c r="L381" s="93"/>
    </row>
    <row r="382" spans="4:34" s="91" customFormat="1" ht="12.75" customHeight="1" x14ac:dyDescent="0.3">
      <c r="D382" s="305"/>
      <c r="E382" s="302"/>
      <c r="F382" s="302"/>
      <c r="G382" s="302"/>
      <c r="H382" s="302"/>
      <c r="L382" s="93"/>
    </row>
    <row r="383" spans="4:34" s="91" customFormat="1" ht="12.75" customHeight="1" x14ac:dyDescent="0.3">
      <c r="D383" s="305"/>
      <c r="E383" s="302"/>
      <c r="F383" s="302"/>
      <c r="G383" s="302"/>
      <c r="H383" s="302"/>
      <c r="L383" s="93"/>
    </row>
    <row r="384" spans="4:34" s="91" customFormat="1" ht="12.75" customHeight="1" x14ac:dyDescent="0.3">
      <c r="D384" s="305"/>
      <c r="E384" s="302"/>
      <c r="F384" s="302"/>
      <c r="G384" s="302"/>
      <c r="H384" s="302"/>
      <c r="L384" s="93"/>
      <c r="AF384" s="306"/>
      <c r="AG384" s="307"/>
      <c r="AH384" s="306"/>
    </row>
    <row r="385" spans="4:53" ht="12.75" customHeight="1" x14ac:dyDescent="0.3">
      <c r="D385" s="305"/>
      <c r="E385" s="302"/>
      <c r="F385" s="302"/>
      <c r="G385" s="302"/>
      <c r="H385" s="302"/>
      <c r="AF385" s="308"/>
      <c r="AG385" s="308"/>
      <c r="AH385" s="306"/>
      <c r="AI385" s="307"/>
      <c r="AJ385" s="309"/>
      <c r="AK385" s="310"/>
      <c r="AL385" s="311"/>
      <c r="AM385" s="312"/>
      <c r="AN385" s="312"/>
      <c r="AO385" s="313"/>
      <c r="AP385" s="314"/>
      <c r="AQ385" s="312"/>
      <c r="AR385" s="312"/>
      <c r="AS385" s="315">
        <v>20000</v>
      </c>
      <c r="AT385" s="312"/>
      <c r="AU385" s="306">
        <v>24</v>
      </c>
      <c r="AV385" s="316"/>
      <c r="AW385" s="317"/>
      <c r="AX385" s="316"/>
      <c r="AY385" s="312"/>
      <c r="AZ385" s="312"/>
      <c r="BA385" s="312"/>
    </row>
    <row r="386" spans="4:53" ht="12.75" customHeight="1" x14ac:dyDescent="0.3">
      <c r="D386" s="305"/>
      <c r="E386" s="302"/>
      <c r="F386" s="302"/>
      <c r="G386" s="302"/>
      <c r="H386" s="302"/>
      <c r="AF386" s="308"/>
      <c r="AG386" s="308"/>
      <c r="AH386" s="306"/>
      <c r="AI386" s="308"/>
      <c r="AJ386" s="318"/>
      <c r="AK386" s="319"/>
      <c r="AL386" s="320"/>
      <c r="AM386" s="315"/>
      <c r="AN386" s="315"/>
      <c r="AO386" s="321"/>
      <c r="AP386" s="322"/>
      <c r="AQ386" s="315"/>
      <c r="AR386" s="315"/>
      <c r="AS386" s="315">
        <v>15000</v>
      </c>
      <c r="AT386" s="315"/>
      <c r="AU386" s="308"/>
      <c r="AV386" s="323"/>
      <c r="AW386" s="324"/>
      <c r="AX386" s="323"/>
      <c r="AY386" s="315"/>
      <c r="AZ386" s="315"/>
      <c r="BA386" s="315"/>
    </row>
    <row r="387" spans="4:53" ht="12.75" customHeight="1" x14ac:dyDescent="0.3">
      <c r="D387" s="305"/>
      <c r="E387" s="302"/>
      <c r="F387" s="302"/>
      <c r="G387" s="302"/>
      <c r="H387" s="302"/>
      <c r="AF387" s="308"/>
      <c r="AG387" s="308"/>
      <c r="AH387" s="306"/>
      <c r="AI387" s="308"/>
      <c r="AJ387" s="318"/>
      <c r="AK387" s="319"/>
      <c r="AL387" s="320"/>
      <c r="AM387" s="315"/>
      <c r="AN387" s="315"/>
      <c r="AO387" s="321"/>
      <c r="AP387" s="322"/>
      <c r="AQ387" s="315"/>
      <c r="AR387" s="315"/>
      <c r="AS387" s="315"/>
      <c r="AT387" s="315"/>
      <c r="AU387" s="308"/>
      <c r="AV387" s="323"/>
      <c r="AW387" s="324"/>
      <c r="AX387" s="323"/>
      <c r="AY387" s="315"/>
      <c r="AZ387" s="315"/>
      <c r="BA387" s="315"/>
    </row>
    <row r="388" spans="4:53" ht="12.75" customHeight="1" x14ac:dyDescent="0.3">
      <c r="D388" s="305"/>
      <c r="E388" s="302"/>
      <c r="F388" s="302"/>
      <c r="G388" s="302"/>
      <c r="H388" s="302"/>
      <c r="AF388" s="308"/>
      <c r="AG388" s="308"/>
      <c r="AH388" s="306"/>
      <c r="AI388" s="308"/>
      <c r="AJ388" s="318"/>
      <c r="AK388" s="319"/>
      <c r="AL388" s="320"/>
      <c r="AM388" s="315"/>
      <c r="AN388" s="315"/>
      <c r="AO388" s="321"/>
      <c r="AP388" s="322"/>
      <c r="AQ388" s="315"/>
      <c r="AR388" s="315"/>
      <c r="AS388" s="315"/>
      <c r="AT388" s="315"/>
      <c r="AU388" s="308"/>
      <c r="AV388" s="323"/>
      <c r="AW388" s="324"/>
      <c r="AX388" s="323"/>
      <c r="AY388" s="315"/>
      <c r="AZ388" s="315"/>
      <c r="BA388" s="315"/>
    </row>
    <row r="389" spans="4:53" ht="12.75" customHeight="1" x14ac:dyDescent="0.3">
      <c r="D389" s="305"/>
      <c r="E389" s="302"/>
      <c r="F389" s="302"/>
      <c r="G389" s="302"/>
      <c r="H389" s="302"/>
      <c r="AF389" s="308"/>
      <c r="AG389" s="308"/>
      <c r="AH389" s="306"/>
      <c r="AI389" s="308"/>
      <c r="AJ389" s="318"/>
      <c r="AK389" s="319"/>
      <c r="AL389" s="320"/>
      <c r="AM389" s="315"/>
      <c r="AN389" s="315"/>
      <c r="AO389" s="321"/>
      <c r="AP389" s="322"/>
      <c r="AQ389" s="315"/>
      <c r="AR389" s="315"/>
      <c r="AS389" s="315"/>
      <c r="AT389" s="315"/>
      <c r="AU389" s="308"/>
      <c r="AV389" s="323"/>
      <c r="AW389" s="324"/>
      <c r="AX389" s="323"/>
      <c r="AY389" s="315"/>
      <c r="AZ389" s="315"/>
      <c r="BA389" s="315"/>
    </row>
    <row r="390" spans="4:53" ht="12.75" customHeight="1" x14ac:dyDescent="0.3">
      <c r="D390" s="305"/>
      <c r="E390" s="302"/>
      <c r="F390" s="302"/>
      <c r="G390" s="302"/>
      <c r="H390" s="302"/>
      <c r="AF390" s="308"/>
      <c r="AG390" s="308"/>
      <c r="AH390" s="306"/>
      <c r="AI390" s="308"/>
      <c r="AJ390" s="318"/>
      <c r="AK390" s="319"/>
      <c r="AL390" s="320"/>
      <c r="AM390" s="315"/>
      <c r="AN390" s="315"/>
      <c r="AO390" s="321"/>
      <c r="AP390" s="322"/>
      <c r="AQ390" s="315"/>
      <c r="AR390" s="315"/>
      <c r="AS390" s="315"/>
      <c r="AT390" s="315"/>
      <c r="AU390" s="308"/>
      <c r="AV390" s="323"/>
      <c r="AW390" s="324"/>
      <c r="AX390" s="323"/>
      <c r="AY390" s="315"/>
      <c r="AZ390" s="315"/>
      <c r="BA390" s="315"/>
    </row>
    <row r="391" spans="4:53" ht="12.75" customHeight="1" x14ac:dyDescent="0.3">
      <c r="D391" s="305"/>
      <c r="E391" s="302"/>
      <c r="F391" s="302"/>
      <c r="G391" s="302"/>
      <c r="H391" s="302"/>
      <c r="AF391" s="308"/>
      <c r="AG391" s="308"/>
      <c r="AH391" s="306"/>
      <c r="AI391" s="308"/>
      <c r="AJ391" s="318"/>
      <c r="AK391" s="319"/>
      <c r="AL391" s="320"/>
      <c r="AM391" s="315"/>
      <c r="AN391" s="315"/>
      <c r="AO391" s="321"/>
      <c r="AP391" s="322"/>
      <c r="AQ391" s="315"/>
      <c r="AR391" s="315"/>
      <c r="AS391" s="315"/>
      <c r="AT391" s="315"/>
      <c r="AU391" s="308"/>
      <c r="AV391" s="323"/>
      <c r="AW391" s="324"/>
      <c r="AX391" s="323"/>
      <c r="AY391" s="315"/>
      <c r="AZ391" s="315"/>
      <c r="BA391" s="315"/>
    </row>
    <row r="392" spans="4:53" ht="12.75" customHeight="1" x14ac:dyDescent="0.3">
      <c r="D392" s="305"/>
      <c r="E392" s="302"/>
      <c r="F392" s="302"/>
      <c r="G392" s="302"/>
      <c r="H392" s="302"/>
      <c r="AF392" s="308"/>
      <c r="AG392" s="308"/>
      <c r="AH392" s="306"/>
      <c r="AI392" s="308"/>
      <c r="AJ392" s="318"/>
      <c r="AK392" s="319"/>
      <c r="AL392" s="320"/>
      <c r="AM392" s="315"/>
      <c r="AN392" s="315"/>
      <c r="AO392" s="321"/>
      <c r="AP392" s="322"/>
      <c r="AQ392" s="315"/>
      <c r="AR392" s="315"/>
      <c r="AS392" s="315"/>
      <c r="AT392" s="315"/>
      <c r="AU392" s="308"/>
      <c r="AV392" s="323"/>
      <c r="AW392" s="324"/>
      <c r="AX392" s="323"/>
      <c r="AY392" s="315"/>
      <c r="AZ392" s="315"/>
      <c r="BA392" s="315"/>
    </row>
    <row r="393" spans="4:53" ht="12.75" customHeight="1" x14ac:dyDescent="0.3">
      <c r="D393" s="305"/>
      <c r="E393" s="302"/>
      <c r="F393" s="302"/>
      <c r="G393" s="302"/>
      <c r="H393" s="302"/>
      <c r="AF393" s="308"/>
      <c r="AG393" s="308"/>
      <c r="AH393" s="306"/>
      <c r="AI393" s="308"/>
      <c r="AJ393" s="318"/>
      <c r="AK393" s="319"/>
      <c r="AL393" s="320"/>
      <c r="AM393" s="315"/>
      <c r="AN393" s="315"/>
      <c r="AO393" s="321"/>
      <c r="AP393" s="322"/>
      <c r="AQ393" s="315"/>
      <c r="AR393" s="315"/>
      <c r="AS393" s="315"/>
      <c r="AT393" s="315"/>
      <c r="AU393" s="308"/>
      <c r="AV393" s="323"/>
      <c r="AW393" s="324"/>
      <c r="AX393" s="323"/>
      <c r="AY393" s="315"/>
      <c r="AZ393" s="315"/>
      <c r="BA393" s="315"/>
    </row>
    <row r="394" spans="4:53" ht="12.75" customHeight="1" x14ac:dyDescent="0.3">
      <c r="D394" s="305"/>
      <c r="E394" s="302"/>
      <c r="F394" s="302"/>
      <c r="G394" s="302"/>
      <c r="H394" s="302"/>
      <c r="AF394" s="93"/>
      <c r="AI394" s="308"/>
      <c r="AJ394" s="318"/>
      <c r="AK394" s="319"/>
      <c r="AL394" s="320"/>
      <c r="AM394" s="315"/>
      <c r="AN394" s="315"/>
      <c r="AO394" s="321"/>
      <c r="AP394" s="322"/>
      <c r="AQ394" s="315"/>
      <c r="AR394" s="315"/>
      <c r="AS394" s="315"/>
      <c r="AT394" s="315"/>
      <c r="AU394" s="308"/>
      <c r="AV394" s="323"/>
      <c r="AW394" s="324"/>
      <c r="AX394" s="323"/>
      <c r="AY394" s="315"/>
      <c r="AZ394" s="315"/>
      <c r="BA394" s="315"/>
    </row>
    <row r="395" spans="4:53" ht="12.75" customHeight="1" x14ac:dyDescent="0.3">
      <c r="D395" s="305"/>
      <c r="E395" s="302"/>
      <c r="F395" s="302"/>
      <c r="G395" s="302"/>
      <c r="H395" s="302"/>
      <c r="AF395" s="93"/>
      <c r="AJ395" s="325"/>
      <c r="AS395" s="92"/>
    </row>
    <row r="396" spans="4:53" ht="12.75" customHeight="1" x14ac:dyDescent="0.3">
      <c r="D396" s="305"/>
      <c r="E396" s="302"/>
      <c r="F396" s="302"/>
      <c r="G396" s="302"/>
      <c r="H396" s="302"/>
      <c r="AF396" s="93"/>
      <c r="AJ396" s="325"/>
      <c r="AS396" s="92"/>
    </row>
    <row r="397" spans="4:53" ht="12.75" customHeight="1" x14ac:dyDescent="0.3">
      <c r="D397" s="305"/>
      <c r="E397" s="302"/>
      <c r="F397" s="302"/>
      <c r="G397" s="302"/>
      <c r="H397" s="302"/>
      <c r="AF397" s="93"/>
      <c r="AJ397" s="325"/>
      <c r="AS397" s="92"/>
    </row>
    <row r="398" spans="4:53" ht="12.75" customHeight="1" x14ac:dyDescent="0.3">
      <c r="D398" s="305"/>
      <c r="E398" s="302"/>
      <c r="F398" s="302"/>
      <c r="G398" s="302"/>
      <c r="H398" s="302"/>
      <c r="AF398" s="93"/>
      <c r="AJ398" s="325"/>
      <c r="AS398" s="92"/>
    </row>
    <row r="399" spans="4:53" ht="12.75" customHeight="1" x14ac:dyDescent="0.3">
      <c r="D399" s="305"/>
      <c r="E399" s="302"/>
      <c r="F399" s="302"/>
      <c r="G399" s="302"/>
      <c r="H399" s="302"/>
      <c r="AF399" s="93"/>
      <c r="AJ399" s="325"/>
      <c r="AS399" s="92"/>
    </row>
    <row r="400" spans="4:53" ht="12.75" customHeight="1" x14ac:dyDescent="0.3">
      <c r="D400" s="305"/>
      <c r="E400" s="302"/>
      <c r="F400" s="302"/>
      <c r="G400" s="302"/>
      <c r="H400" s="302"/>
      <c r="AF400" s="93"/>
      <c r="AJ400" s="325"/>
      <c r="AS400" s="92"/>
    </row>
    <row r="401" spans="4:45" ht="12.75" customHeight="1" x14ac:dyDescent="0.3">
      <c r="D401" s="305"/>
      <c r="E401" s="302"/>
      <c r="F401" s="302"/>
      <c r="G401" s="302"/>
      <c r="H401" s="302"/>
      <c r="AF401" s="93"/>
      <c r="AJ401" s="325"/>
      <c r="AS401" s="92"/>
    </row>
    <row r="402" spans="4:45" ht="12.75" customHeight="1" x14ac:dyDescent="0.3">
      <c r="D402" s="305"/>
      <c r="E402" s="302"/>
      <c r="F402" s="302"/>
      <c r="G402" s="302"/>
      <c r="H402" s="302"/>
      <c r="AJ402" s="325"/>
      <c r="AS402" s="92"/>
    </row>
    <row r="403" spans="4:45" ht="12.75" customHeight="1" x14ac:dyDescent="0.3">
      <c r="D403" s="305"/>
      <c r="E403" s="302"/>
      <c r="F403" s="302"/>
      <c r="G403" s="302"/>
      <c r="H403" s="302"/>
      <c r="AJ403" s="325"/>
    </row>
    <row r="404" spans="4:45" ht="12.75" customHeight="1" x14ac:dyDescent="0.3">
      <c r="D404" s="305"/>
      <c r="E404" s="302"/>
      <c r="F404" s="302"/>
      <c r="G404" s="302"/>
      <c r="H404" s="302"/>
      <c r="AJ404" s="325"/>
    </row>
    <row r="405" spans="4:45" ht="12.75" customHeight="1" x14ac:dyDescent="0.3">
      <c r="D405" s="305"/>
      <c r="E405" s="302"/>
      <c r="F405" s="302"/>
      <c r="G405" s="302"/>
      <c r="H405" s="302"/>
      <c r="AJ405" s="325"/>
    </row>
    <row r="406" spans="4:45" ht="12.75" customHeight="1" x14ac:dyDescent="0.3">
      <c r="D406" s="305"/>
      <c r="E406" s="302"/>
      <c r="F406" s="302"/>
      <c r="G406" s="302"/>
      <c r="H406" s="302"/>
      <c r="AJ406" s="325"/>
    </row>
    <row r="407" spans="4:45" ht="12.75" customHeight="1" x14ac:dyDescent="0.3">
      <c r="D407" s="305"/>
      <c r="E407" s="302"/>
      <c r="F407" s="302"/>
      <c r="G407" s="302"/>
      <c r="H407" s="302"/>
      <c r="AJ407" s="325"/>
    </row>
    <row r="408" spans="4:45" ht="12.75" customHeight="1" x14ac:dyDescent="0.3">
      <c r="D408" s="305"/>
      <c r="E408" s="302"/>
      <c r="F408" s="302"/>
      <c r="G408" s="302"/>
      <c r="H408" s="302"/>
      <c r="AJ408" s="325"/>
    </row>
    <row r="409" spans="4:45" ht="12.75" customHeight="1" x14ac:dyDescent="0.3">
      <c r="D409" s="305"/>
      <c r="E409" s="302"/>
      <c r="F409" s="302"/>
      <c r="G409" s="302"/>
      <c r="H409" s="302"/>
      <c r="AJ409" s="325"/>
    </row>
    <row r="410" spans="4:45" ht="12.75" customHeight="1" x14ac:dyDescent="0.3">
      <c r="D410" s="305"/>
      <c r="E410" s="302"/>
      <c r="F410" s="302"/>
      <c r="G410" s="302"/>
      <c r="H410" s="302"/>
    </row>
    <row r="411" spans="4:45" ht="12.75" customHeight="1" x14ac:dyDescent="0.3">
      <c r="D411" s="305"/>
      <c r="E411" s="302"/>
      <c r="F411" s="302"/>
      <c r="G411" s="302"/>
      <c r="H411" s="302"/>
    </row>
    <row r="412" spans="4:45" ht="12.75" customHeight="1" x14ac:dyDescent="0.3">
      <c r="D412" s="305"/>
      <c r="E412" s="302"/>
      <c r="F412" s="302"/>
      <c r="G412" s="302"/>
      <c r="H412" s="302"/>
    </row>
    <row r="413" spans="4:45" ht="12.75" customHeight="1" x14ac:dyDescent="0.3">
      <c r="D413" s="305"/>
      <c r="E413" s="302"/>
      <c r="F413" s="302"/>
      <c r="G413" s="302"/>
      <c r="H413" s="302"/>
    </row>
    <row r="414" spans="4:45" ht="12.75" customHeight="1" x14ac:dyDescent="0.3">
      <c r="D414" s="305"/>
      <c r="E414" s="302"/>
      <c r="F414" s="302"/>
      <c r="G414" s="302"/>
      <c r="H414" s="302"/>
    </row>
    <row r="415" spans="4:45" ht="12.75" customHeight="1" x14ac:dyDescent="0.3">
      <c r="D415" s="305"/>
      <c r="E415" s="302"/>
      <c r="F415" s="302"/>
      <c r="G415" s="302"/>
      <c r="H415" s="302"/>
    </row>
    <row r="416" spans="4:45" ht="12.75" customHeight="1" x14ac:dyDescent="0.3">
      <c r="D416" s="305"/>
      <c r="E416" s="302"/>
      <c r="F416" s="302"/>
      <c r="G416" s="302"/>
      <c r="H416" s="302"/>
    </row>
    <row r="417" spans="4:8" ht="12.75" customHeight="1" x14ac:dyDescent="0.3">
      <c r="D417" s="305"/>
      <c r="E417" s="302"/>
      <c r="F417" s="302"/>
      <c r="G417" s="302"/>
      <c r="H417" s="302"/>
    </row>
    <row r="418" spans="4:8" ht="12.75" customHeight="1" x14ac:dyDescent="0.3">
      <c r="D418" s="305"/>
      <c r="E418" s="302"/>
      <c r="F418" s="302"/>
      <c r="G418" s="302"/>
      <c r="H418" s="302"/>
    </row>
    <row r="419" spans="4:8" ht="12.75" customHeight="1" x14ac:dyDescent="0.3">
      <c r="D419" s="305"/>
      <c r="E419" s="302"/>
      <c r="F419" s="302"/>
      <c r="G419" s="302"/>
      <c r="H419" s="302"/>
    </row>
    <row r="420" spans="4:8" ht="12.75" customHeight="1" x14ac:dyDescent="0.3">
      <c r="D420" s="305"/>
      <c r="E420" s="302"/>
      <c r="F420" s="302"/>
      <c r="G420" s="302"/>
      <c r="H420" s="302"/>
    </row>
    <row r="421" spans="4:8" ht="12.75" customHeight="1" x14ac:dyDescent="0.3">
      <c r="D421" s="305"/>
      <c r="E421" s="302"/>
      <c r="F421" s="302"/>
      <c r="G421" s="302"/>
      <c r="H421" s="302"/>
    </row>
    <row r="422" spans="4:8" ht="12.75" customHeight="1" x14ac:dyDescent="0.3">
      <c r="D422" s="305"/>
      <c r="E422" s="302"/>
      <c r="F422" s="302"/>
      <c r="G422" s="302"/>
      <c r="H422" s="302"/>
    </row>
    <row r="423" spans="4:8" ht="12.75" customHeight="1" x14ac:dyDescent="0.3">
      <c r="D423" s="305"/>
      <c r="E423" s="302"/>
      <c r="F423" s="302"/>
      <c r="G423" s="302"/>
      <c r="H423" s="302"/>
    </row>
    <row r="424" spans="4:8" ht="12.75" customHeight="1" x14ac:dyDescent="0.3">
      <c r="D424" s="305"/>
      <c r="E424" s="302"/>
      <c r="F424" s="302"/>
      <c r="G424" s="302"/>
      <c r="H424" s="302"/>
    </row>
    <row r="425" spans="4:8" ht="12.75" customHeight="1" x14ac:dyDescent="0.3">
      <c r="D425" s="305"/>
      <c r="E425" s="302"/>
      <c r="F425" s="302"/>
      <c r="G425" s="302"/>
      <c r="H425" s="302"/>
    </row>
    <row r="426" spans="4:8" ht="12.75" customHeight="1" x14ac:dyDescent="0.3">
      <c r="D426" s="305"/>
      <c r="E426" s="302"/>
      <c r="F426" s="302"/>
      <c r="G426" s="302"/>
      <c r="H426" s="302"/>
    </row>
    <row r="427" spans="4:8" ht="12.75" customHeight="1" x14ac:dyDescent="0.3">
      <c r="D427" s="305"/>
      <c r="E427" s="302"/>
      <c r="F427" s="302"/>
      <c r="G427" s="302"/>
      <c r="H427" s="302"/>
    </row>
    <row r="428" spans="4:8" ht="12.75" customHeight="1" x14ac:dyDescent="0.3">
      <c r="D428" s="305"/>
      <c r="E428" s="302"/>
      <c r="F428" s="302"/>
      <c r="G428" s="302"/>
      <c r="H428" s="302"/>
    </row>
    <row r="429" spans="4:8" ht="12.75" customHeight="1" x14ac:dyDescent="0.3">
      <c r="D429" s="305"/>
      <c r="E429" s="302"/>
      <c r="F429" s="302"/>
      <c r="G429" s="302"/>
      <c r="H429" s="302"/>
    </row>
    <row r="430" spans="4:8" ht="12.75" customHeight="1" x14ac:dyDescent="0.3">
      <c r="D430" s="305"/>
      <c r="E430" s="302"/>
      <c r="F430" s="302"/>
      <c r="G430" s="302"/>
      <c r="H430" s="302"/>
    </row>
    <row r="431" spans="4:8" ht="12.75" customHeight="1" x14ac:dyDescent="0.3">
      <c r="D431" s="305"/>
      <c r="E431" s="302"/>
      <c r="F431" s="302"/>
      <c r="G431" s="302"/>
      <c r="H431" s="302"/>
    </row>
    <row r="432" spans="4:8" ht="12.75" customHeight="1" x14ac:dyDescent="0.3">
      <c r="D432" s="305"/>
      <c r="E432" s="302"/>
      <c r="F432" s="302"/>
      <c r="G432" s="302"/>
      <c r="H432" s="302"/>
    </row>
    <row r="433" spans="4:8" ht="12.75" customHeight="1" x14ac:dyDescent="0.3">
      <c r="D433" s="305"/>
      <c r="E433" s="302"/>
      <c r="F433" s="302"/>
      <c r="G433" s="302"/>
      <c r="H433" s="302"/>
    </row>
    <row r="434" spans="4:8" ht="12.75" customHeight="1" x14ac:dyDescent="0.3">
      <c r="D434" s="305"/>
      <c r="E434" s="302"/>
      <c r="F434" s="302"/>
      <c r="G434" s="302"/>
      <c r="H434" s="302"/>
    </row>
    <row r="435" spans="4:8" ht="12.75" customHeight="1" x14ac:dyDescent="0.3">
      <c r="D435" s="305"/>
      <c r="E435" s="302"/>
      <c r="F435" s="302"/>
      <c r="G435" s="302"/>
      <c r="H435" s="302"/>
    </row>
    <row r="436" spans="4:8" ht="12.75" customHeight="1" x14ac:dyDescent="0.3">
      <c r="D436" s="305"/>
      <c r="E436" s="302"/>
      <c r="F436" s="302"/>
      <c r="G436" s="302"/>
      <c r="H436" s="302"/>
    </row>
    <row r="437" spans="4:8" ht="12.75" customHeight="1" x14ac:dyDescent="0.3">
      <c r="D437" s="305"/>
      <c r="E437" s="302"/>
      <c r="F437" s="302"/>
      <c r="G437" s="302"/>
      <c r="H437" s="302"/>
    </row>
    <row r="438" spans="4:8" ht="12.75" customHeight="1" x14ac:dyDescent="0.3">
      <c r="D438" s="305"/>
      <c r="E438" s="302"/>
      <c r="F438" s="302"/>
      <c r="G438" s="302"/>
      <c r="H438" s="302"/>
    </row>
    <row r="439" spans="4:8" ht="12.75" customHeight="1" x14ac:dyDescent="0.3">
      <c r="D439" s="305"/>
      <c r="E439" s="302"/>
      <c r="F439" s="302"/>
      <c r="G439" s="302"/>
      <c r="H439" s="302"/>
    </row>
    <row r="440" spans="4:8" ht="12.75" customHeight="1" x14ac:dyDescent="0.3">
      <c r="D440" s="305"/>
      <c r="E440" s="302"/>
      <c r="F440" s="302"/>
      <c r="G440" s="302"/>
      <c r="H440" s="302"/>
    </row>
    <row r="441" spans="4:8" ht="12.75" customHeight="1" x14ac:dyDescent="0.3">
      <c r="D441" s="305"/>
      <c r="E441" s="302"/>
      <c r="F441" s="302"/>
      <c r="G441" s="302"/>
      <c r="H441" s="302"/>
    </row>
    <row r="442" spans="4:8" ht="12.75" customHeight="1" x14ac:dyDescent="0.3">
      <c r="D442" s="305"/>
      <c r="E442" s="302"/>
      <c r="F442" s="302"/>
      <c r="G442" s="302"/>
      <c r="H442" s="302"/>
    </row>
    <row r="443" spans="4:8" ht="12.75" customHeight="1" x14ac:dyDescent="0.3">
      <c r="D443" s="305"/>
      <c r="E443" s="302"/>
      <c r="F443" s="302"/>
      <c r="G443" s="302"/>
      <c r="H443" s="302"/>
    </row>
    <row r="444" spans="4:8" ht="12.75" customHeight="1" x14ac:dyDescent="0.3">
      <c r="D444" s="305"/>
      <c r="E444" s="302"/>
      <c r="F444" s="302"/>
      <c r="G444" s="302"/>
      <c r="H444" s="302"/>
    </row>
    <row r="445" spans="4:8" ht="12.75" customHeight="1" x14ac:dyDescent="0.3">
      <c r="D445" s="305"/>
      <c r="E445" s="302"/>
      <c r="F445" s="302"/>
      <c r="G445" s="302"/>
      <c r="H445" s="302"/>
    </row>
    <row r="446" spans="4:8" ht="12.75" customHeight="1" x14ac:dyDescent="0.3">
      <c r="D446" s="305"/>
      <c r="E446" s="302"/>
      <c r="F446" s="302"/>
      <c r="G446" s="302"/>
      <c r="H446" s="302"/>
    </row>
    <row r="447" spans="4:8" ht="12.75" customHeight="1" x14ac:dyDescent="0.3">
      <c r="D447" s="305"/>
      <c r="E447" s="302"/>
      <c r="F447" s="302"/>
      <c r="G447" s="302"/>
      <c r="H447" s="302"/>
    </row>
    <row r="448" spans="4:8" ht="12.75" customHeight="1" x14ac:dyDescent="0.3">
      <c r="D448" s="305"/>
      <c r="E448" s="302"/>
      <c r="F448" s="302"/>
      <c r="G448" s="302"/>
      <c r="H448" s="302"/>
    </row>
    <row r="449" spans="4:8" ht="12.75" customHeight="1" x14ac:dyDescent="0.3">
      <c r="D449" s="305"/>
      <c r="E449" s="302"/>
      <c r="F449" s="302"/>
      <c r="G449" s="302"/>
      <c r="H449" s="302"/>
    </row>
    <row r="450" spans="4:8" ht="12.75" customHeight="1" x14ac:dyDescent="0.3">
      <c r="D450" s="305"/>
      <c r="E450" s="302"/>
      <c r="F450" s="302"/>
      <c r="G450" s="302"/>
      <c r="H450" s="302"/>
    </row>
    <row r="451" spans="4:8" ht="12.75" customHeight="1" x14ac:dyDescent="0.3">
      <c r="D451" s="305"/>
      <c r="E451" s="302"/>
      <c r="F451" s="302"/>
      <c r="G451" s="302"/>
      <c r="H451" s="302"/>
    </row>
    <row r="452" spans="4:8" ht="12.75" customHeight="1" x14ac:dyDescent="0.3">
      <c r="D452" s="305"/>
      <c r="E452" s="302"/>
      <c r="F452" s="302"/>
      <c r="G452" s="302"/>
      <c r="H452" s="302"/>
    </row>
    <row r="453" spans="4:8" ht="12.75" customHeight="1" x14ac:dyDescent="0.3">
      <c r="D453" s="305"/>
      <c r="E453" s="302"/>
      <c r="F453" s="302"/>
      <c r="G453" s="302"/>
      <c r="H453" s="302"/>
    </row>
    <row r="454" spans="4:8" ht="12.75" customHeight="1" x14ac:dyDescent="0.3">
      <c r="D454" s="305"/>
      <c r="E454" s="302"/>
      <c r="F454" s="302"/>
      <c r="G454" s="302"/>
      <c r="H454" s="302"/>
    </row>
    <row r="455" spans="4:8" ht="12.75" customHeight="1" x14ac:dyDescent="0.3">
      <c r="D455" s="305"/>
      <c r="E455" s="302"/>
      <c r="F455" s="302"/>
      <c r="G455" s="302"/>
      <c r="H455" s="302"/>
    </row>
    <row r="456" spans="4:8" ht="12.75" customHeight="1" x14ac:dyDescent="0.3">
      <c r="D456" s="305"/>
      <c r="E456" s="302"/>
      <c r="F456" s="302"/>
      <c r="G456" s="302"/>
      <c r="H456" s="302"/>
    </row>
    <row r="457" spans="4:8" ht="12.75" customHeight="1" x14ac:dyDescent="0.3">
      <c r="D457" s="305"/>
      <c r="E457" s="302"/>
      <c r="F457" s="302"/>
      <c r="G457" s="302"/>
      <c r="H457" s="302"/>
    </row>
    <row r="458" spans="4:8" ht="12.75" customHeight="1" x14ac:dyDescent="0.3">
      <c r="D458" s="305"/>
      <c r="E458" s="302"/>
      <c r="F458" s="302"/>
      <c r="G458" s="302"/>
      <c r="H458" s="302"/>
    </row>
    <row r="459" spans="4:8" ht="12.75" customHeight="1" x14ac:dyDescent="0.3">
      <c r="D459" s="305"/>
      <c r="E459" s="302"/>
      <c r="F459" s="302"/>
      <c r="G459" s="302"/>
      <c r="H459" s="302"/>
    </row>
    <row r="460" spans="4:8" ht="12.75" customHeight="1" x14ac:dyDescent="0.3">
      <c r="D460" s="305"/>
      <c r="E460" s="302"/>
      <c r="F460" s="302"/>
      <c r="G460" s="302"/>
      <c r="H460" s="302"/>
    </row>
    <row r="461" spans="4:8" ht="12.75" customHeight="1" x14ac:dyDescent="0.3">
      <c r="D461" s="305"/>
      <c r="E461" s="302"/>
      <c r="F461" s="302"/>
      <c r="G461" s="302"/>
      <c r="H461" s="302"/>
    </row>
    <row r="462" spans="4:8" ht="12.75" customHeight="1" x14ac:dyDescent="0.3">
      <c r="D462" s="305"/>
      <c r="E462" s="302"/>
      <c r="F462" s="302"/>
      <c r="G462" s="302"/>
      <c r="H462" s="302"/>
    </row>
    <row r="463" spans="4:8" ht="12.75" customHeight="1" x14ac:dyDescent="0.3">
      <c r="D463" s="305"/>
      <c r="E463" s="302"/>
      <c r="F463" s="302"/>
      <c r="G463" s="302"/>
      <c r="H463" s="302"/>
    </row>
    <row r="464" spans="4:8" ht="12.75" customHeight="1" x14ac:dyDescent="0.3">
      <c r="D464" s="305"/>
      <c r="E464" s="302"/>
      <c r="F464" s="302"/>
      <c r="G464" s="302"/>
      <c r="H464" s="302"/>
    </row>
    <row r="465" spans="4:8" ht="12.75" customHeight="1" x14ac:dyDescent="0.3">
      <c r="D465" s="305"/>
      <c r="E465" s="302"/>
      <c r="F465" s="302"/>
      <c r="G465" s="302"/>
      <c r="H465" s="302"/>
    </row>
    <row r="466" spans="4:8" ht="12.75" customHeight="1" x14ac:dyDescent="0.3">
      <c r="D466" s="305"/>
      <c r="E466" s="302"/>
      <c r="F466" s="302"/>
      <c r="G466" s="302"/>
      <c r="H466" s="302"/>
    </row>
    <row r="467" spans="4:8" ht="12.75" customHeight="1" x14ac:dyDescent="0.3">
      <c r="D467" s="305"/>
      <c r="E467" s="302"/>
      <c r="F467" s="302"/>
      <c r="G467" s="302"/>
      <c r="H467" s="302"/>
    </row>
    <row r="468" spans="4:8" ht="12.75" customHeight="1" x14ac:dyDescent="0.3">
      <c r="D468" s="305"/>
      <c r="E468" s="302"/>
      <c r="F468" s="302"/>
      <c r="G468" s="302"/>
      <c r="H468" s="302"/>
    </row>
    <row r="469" spans="4:8" ht="12.75" customHeight="1" x14ac:dyDescent="0.3">
      <c r="D469" s="305"/>
      <c r="E469" s="302"/>
      <c r="F469" s="302"/>
      <c r="G469" s="302"/>
      <c r="H469" s="302"/>
    </row>
    <row r="470" spans="4:8" ht="12.75" customHeight="1" x14ac:dyDescent="0.3">
      <c r="D470" s="305"/>
      <c r="E470" s="302"/>
      <c r="F470" s="302"/>
      <c r="G470" s="302"/>
      <c r="H470" s="302"/>
    </row>
    <row r="471" spans="4:8" ht="12.75" customHeight="1" x14ac:dyDescent="0.3">
      <c r="D471" s="305"/>
      <c r="E471" s="302"/>
      <c r="F471" s="302"/>
      <c r="G471" s="302"/>
      <c r="H471" s="302"/>
    </row>
    <row r="472" spans="4:8" ht="12.75" customHeight="1" x14ac:dyDescent="0.3">
      <c r="D472" s="305"/>
      <c r="E472" s="302"/>
      <c r="F472" s="302"/>
      <c r="G472" s="302"/>
      <c r="H472" s="302"/>
    </row>
    <row r="473" spans="4:8" ht="12.75" customHeight="1" x14ac:dyDescent="0.3">
      <c r="D473" s="305"/>
      <c r="E473" s="302"/>
      <c r="F473" s="302"/>
      <c r="G473" s="302"/>
      <c r="H473" s="302"/>
    </row>
    <row r="474" spans="4:8" ht="12.75" customHeight="1" x14ac:dyDescent="0.3">
      <c r="D474" s="305"/>
      <c r="E474" s="302"/>
      <c r="F474" s="302"/>
      <c r="G474" s="302"/>
      <c r="H474" s="302"/>
    </row>
    <row r="475" spans="4:8" ht="12.75" customHeight="1" x14ac:dyDescent="0.3">
      <c r="D475" s="305"/>
      <c r="E475" s="302"/>
      <c r="F475" s="302"/>
      <c r="G475" s="302"/>
      <c r="H475" s="302"/>
    </row>
    <row r="476" spans="4:8" ht="12.75" customHeight="1" x14ac:dyDescent="0.3">
      <c r="D476" s="305"/>
      <c r="E476" s="302"/>
      <c r="F476" s="302"/>
      <c r="G476" s="302"/>
      <c r="H476" s="302"/>
    </row>
    <row r="477" spans="4:8" ht="12.75" customHeight="1" x14ac:dyDescent="0.3">
      <c r="D477" s="305"/>
      <c r="E477" s="302"/>
      <c r="F477" s="302"/>
      <c r="G477" s="302"/>
      <c r="H477" s="302"/>
    </row>
    <row r="478" spans="4:8" ht="12.75" customHeight="1" x14ac:dyDescent="0.3">
      <c r="D478" s="305"/>
      <c r="E478" s="302"/>
      <c r="F478" s="302"/>
      <c r="G478" s="302"/>
      <c r="H478" s="302"/>
    </row>
    <row r="479" spans="4:8" ht="12.75" customHeight="1" x14ac:dyDescent="0.3">
      <c r="D479" s="305"/>
      <c r="E479" s="302"/>
      <c r="F479" s="302"/>
      <c r="G479" s="302"/>
      <c r="H479" s="302"/>
    </row>
    <row r="480" spans="4:8" ht="12.75" customHeight="1" x14ac:dyDescent="0.3">
      <c r="D480" s="305"/>
      <c r="E480" s="302"/>
      <c r="F480" s="302"/>
      <c r="G480" s="302"/>
      <c r="H480" s="302"/>
    </row>
    <row r="481" spans="4:8" ht="12.75" customHeight="1" x14ac:dyDescent="0.3">
      <c r="D481" s="305"/>
      <c r="E481" s="302"/>
      <c r="F481" s="302"/>
      <c r="G481" s="302"/>
      <c r="H481" s="302"/>
    </row>
    <row r="482" spans="4:8" ht="12.75" customHeight="1" x14ac:dyDescent="0.3">
      <c r="D482" s="305"/>
      <c r="E482" s="302"/>
      <c r="F482" s="302"/>
      <c r="G482" s="302"/>
      <c r="H482" s="302"/>
    </row>
    <row r="483" spans="4:8" ht="12.75" customHeight="1" x14ac:dyDescent="0.3">
      <c r="D483" s="305"/>
      <c r="E483" s="302"/>
      <c r="F483" s="302"/>
      <c r="G483" s="302"/>
      <c r="H483" s="302"/>
    </row>
    <row r="484" spans="4:8" ht="12.75" customHeight="1" x14ac:dyDescent="0.3">
      <c r="D484" s="305"/>
      <c r="E484" s="302"/>
      <c r="F484" s="302"/>
      <c r="G484" s="302"/>
      <c r="H484" s="302"/>
    </row>
    <row r="485" spans="4:8" ht="12.75" customHeight="1" x14ac:dyDescent="0.3">
      <c r="D485" s="305"/>
      <c r="E485" s="302"/>
      <c r="F485" s="302"/>
      <c r="G485" s="302"/>
      <c r="H485" s="302"/>
    </row>
    <row r="486" spans="4:8" ht="12.75" customHeight="1" x14ac:dyDescent="0.3">
      <c r="D486" s="305"/>
      <c r="E486" s="302"/>
      <c r="F486" s="302"/>
      <c r="G486" s="302"/>
      <c r="H486" s="302"/>
    </row>
    <row r="487" spans="4:8" ht="12.75" customHeight="1" x14ac:dyDescent="0.3">
      <c r="D487" s="305"/>
      <c r="E487" s="302"/>
      <c r="F487" s="302"/>
      <c r="G487" s="302"/>
      <c r="H487" s="302"/>
    </row>
    <row r="488" spans="4:8" ht="12.75" customHeight="1" x14ac:dyDescent="0.3">
      <c r="D488" s="305"/>
      <c r="E488" s="302"/>
      <c r="F488" s="302"/>
      <c r="G488" s="302"/>
      <c r="H488" s="302"/>
    </row>
    <row r="489" spans="4:8" ht="12.75" customHeight="1" x14ac:dyDescent="0.3">
      <c r="D489" s="305"/>
      <c r="E489" s="302"/>
      <c r="F489" s="302"/>
      <c r="G489" s="302"/>
      <c r="H489" s="302"/>
    </row>
    <row r="490" spans="4:8" ht="12.75" customHeight="1" x14ac:dyDescent="0.3">
      <c r="D490" s="305"/>
      <c r="E490" s="302"/>
      <c r="F490" s="302"/>
      <c r="G490" s="302"/>
      <c r="H490" s="302"/>
    </row>
    <row r="491" spans="4:8" ht="12.75" customHeight="1" x14ac:dyDescent="0.3">
      <c r="D491" s="305"/>
      <c r="E491" s="302"/>
      <c r="F491" s="302"/>
      <c r="G491" s="302"/>
      <c r="H491" s="302"/>
    </row>
    <row r="492" spans="4:8" ht="12.75" customHeight="1" x14ac:dyDescent="0.3">
      <c r="D492" s="305"/>
      <c r="E492" s="302"/>
      <c r="F492" s="302"/>
      <c r="G492" s="302"/>
      <c r="H492" s="302"/>
    </row>
    <row r="493" spans="4:8" ht="12.75" customHeight="1" x14ac:dyDescent="0.3">
      <c r="D493" s="305"/>
      <c r="E493" s="302"/>
      <c r="F493" s="302"/>
      <c r="G493" s="302"/>
      <c r="H493" s="302"/>
    </row>
    <row r="494" spans="4:8" ht="12.75" customHeight="1" x14ac:dyDescent="0.3">
      <c r="D494" s="305"/>
      <c r="E494" s="302"/>
      <c r="F494" s="302"/>
      <c r="G494" s="302"/>
      <c r="H494" s="302"/>
    </row>
    <row r="495" spans="4:8" ht="12.75" customHeight="1" x14ac:dyDescent="0.3">
      <c r="D495" s="305"/>
      <c r="E495" s="302"/>
      <c r="F495" s="302"/>
      <c r="G495" s="302"/>
      <c r="H495" s="302"/>
    </row>
    <row r="496" spans="4:8" ht="12.75" customHeight="1" x14ac:dyDescent="0.3">
      <c r="D496" s="305"/>
      <c r="E496" s="302"/>
      <c r="F496" s="302"/>
      <c r="G496" s="302"/>
      <c r="H496" s="302"/>
    </row>
    <row r="497" spans="4:8" ht="12.75" customHeight="1" x14ac:dyDescent="0.3">
      <c r="D497" s="305"/>
      <c r="E497" s="302"/>
      <c r="F497" s="302"/>
      <c r="G497" s="302"/>
      <c r="H497" s="302"/>
    </row>
    <row r="498" spans="4:8" ht="12.75" customHeight="1" x14ac:dyDescent="0.3">
      <c r="D498" s="305"/>
      <c r="E498" s="302"/>
      <c r="F498" s="302"/>
      <c r="G498" s="302"/>
      <c r="H498" s="302"/>
    </row>
    <row r="499" spans="4:8" ht="12.75" customHeight="1" x14ac:dyDescent="0.3">
      <c r="D499" s="305"/>
      <c r="E499" s="302"/>
      <c r="F499" s="302"/>
      <c r="G499" s="302"/>
      <c r="H499" s="302"/>
    </row>
    <row r="500" spans="4:8" ht="12.75" customHeight="1" x14ac:dyDescent="0.3">
      <c r="D500" s="305"/>
      <c r="E500" s="302"/>
      <c r="F500" s="302"/>
      <c r="G500" s="302"/>
      <c r="H500" s="302"/>
    </row>
    <row r="501" spans="4:8" ht="12.75" customHeight="1" x14ac:dyDescent="0.3">
      <c r="D501" s="305"/>
      <c r="E501" s="302"/>
      <c r="F501" s="302"/>
      <c r="G501" s="302"/>
      <c r="H501" s="302"/>
    </row>
    <row r="502" spans="4:8" ht="12.75" customHeight="1" x14ac:dyDescent="0.3">
      <c r="D502" s="305"/>
      <c r="E502" s="302"/>
      <c r="F502" s="302"/>
      <c r="G502" s="302"/>
      <c r="H502" s="302"/>
    </row>
    <row r="503" spans="4:8" ht="12.75" customHeight="1" x14ac:dyDescent="0.3">
      <c r="D503" s="305"/>
      <c r="E503" s="302"/>
      <c r="F503" s="302"/>
      <c r="G503" s="302"/>
      <c r="H503" s="302"/>
    </row>
    <row r="504" spans="4:8" ht="12.75" customHeight="1" x14ac:dyDescent="0.3">
      <c r="D504" s="305"/>
      <c r="E504" s="302"/>
      <c r="F504" s="302"/>
      <c r="G504" s="302"/>
      <c r="H504" s="302"/>
    </row>
    <row r="505" spans="4:8" ht="12.75" customHeight="1" x14ac:dyDescent="0.3">
      <c r="D505" s="305"/>
      <c r="E505" s="302"/>
      <c r="F505" s="302"/>
      <c r="G505" s="302"/>
      <c r="H505" s="302"/>
    </row>
    <row r="506" spans="4:8" ht="12.75" customHeight="1" x14ac:dyDescent="0.3">
      <c r="D506" s="305"/>
      <c r="E506" s="302"/>
      <c r="F506" s="302"/>
      <c r="G506" s="302"/>
      <c r="H506" s="302"/>
    </row>
    <row r="507" spans="4:8" ht="12.75" customHeight="1" x14ac:dyDescent="0.3">
      <c r="D507" s="305"/>
      <c r="E507" s="302"/>
      <c r="F507" s="302"/>
      <c r="G507" s="302"/>
      <c r="H507" s="302"/>
    </row>
    <row r="508" spans="4:8" ht="12.75" customHeight="1" x14ac:dyDescent="0.3">
      <c r="D508" s="305"/>
      <c r="E508" s="302"/>
      <c r="F508" s="302"/>
      <c r="G508" s="302"/>
      <c r="H508" s="302"/>
    </row>
    <row r="509" spans="4:8" ht="12.75" customHeight="1" x14ac:dyDescent="0.3">
      <c r="D509" s="305"/>
      <c r="E509" s="302"/>
      <c r="F509" s="302"/>
      <c r="G509" s="302"/>
      <c r="H509" s="302"/>
    </row>
    <row r="510" spans="4:8" ht="12.75" customHeight="1" x14ac:dyDescent="0.3">
      <c r="D510" s="305"/>
      <c r="E510" s="302"/>
      <c r="F510" s="302"/>
      <c r="G510" s="302"/>
      <c r="H510" s="302"/>
    </row>
    <row r="511" spans="4:8" ht="12.75" customHeight="1" x14ac:dyDescent="0.3">
      <c r="D511" s="305"/>
      <c r="E511" s="302"/>
      <c r="F511" s="302"/>
      <c r="G511" s="302"/>
      <c r="H511" s="302"/>
    </row>
    <row r="512" spans="4:8" ht="12.75" customHeight="1" x14ac:dyDescent="0.3">
      <c r="D512" s="305"/>
      <c r="E512" s="302"/>
      <c r="F512" s="302"/>
      <c r="G512" s="302"/>
      <c r="H512" s="302"/>
    </row>
    <row r="513" spans="4:8" ht="12.75" customHeight="1" x14ac:dyDescent="0.3">
      <c r="D513" s="305"/>
      <c r="E513" s="302"/>
      <c r="F513" s="302"/>
      <c r="G513" s="302"/>
      <c r="H513" s="302"/>
    </row>
    <row r="514" spans="4:8" ht="12.75" customHeight="1" x14ac:dyDescent="0.3">
      <c r="D514" s="305"/>
      <c r="E514" s="302"/>
      <c r="F514" s="302"/>
      <c r="G514" s="302"/>
      <c r="H514" s="302"/>
    </row>
    <row r="515" spans="4:8" ht="12.75" customHeight="1" x14ac:dyDescent="0.3">
      <c r="D515" s="305"/>
      <c r="E515" s="302"/>
      <c r="F515" s="302"/>
      <c r="G515" s="302"/>
      <c r="H515" s="302"/>
    </row>
    <row r="516" spans="4:8" ht="12.75" customHeight="1" x14ac:dyDescent="0.3">
      <c r="D516" s="305"/>
      <c r="E516" s="302"/>
      <c r="F516" s="302"/>
      <c r="G516" s="302"/>
      <c r="H516" s="302"/>
    </row>
    <row r="517" spans="4:8" ht="12.75" customHeight="1" x14ac:dyDescent="0.3">
      <c r="D517" s="305"/>
      <c r="E517" s="302"/>
      <c r="F517" s="302"/>
      <c r="G517" s="302"/>
      <c r="H517" s="302"/>
    </row>
    <row r="518" spans="4:8" ht="12.75" customHeight="1" x14ac:dyDescent="0.3">
      <c r="D518" s="305"/>
      <c r="E518" s="302"/>
      <c r="F518" s="302"/>
      <c r="G518" s="302"/>
      <c r="H518" s="302"/>
    </row>
    <row r="519" spans="4:8" ht="12.75" customHeight="1" x14ac:dyDescent="0.3">
      <c r="D519" s="305"/>
      <c r="E519" s="302"/>
      <c r="F519" s="302"/>
      <c r="G519" s="302"/>
      <c r="H519" s="302"/>
    </row>
    <row r="520" spans="4:8" ht="12.75" customHeight="1" x14ac:dyDescent="0.3">
      <c r="D520" s="305"/>
      <c r="E520" s="302"/>
      <c r="F520" s="302"/>
      <c r="G520" s="302"/>
      <c r="H520" s="302"/>
    </row>
    <row r="521" spans="4:8" ht="12.75" customHeight="1" x14ac:dyDescent="0.3">
      <c r="D521" s="305"/>
      <c r="E521" s="302"/>
      <c r="F521" s="302"/>
      <c r="G521" s="302"/>
      <c r="H521" s="302"/>
    </row>
    <row r="522" spans="4:8" ht="12.75" customHeight="1" x14ac:dyDescent="0.3">
      <c r="D522" s="305"/>
      <c r="E522" s="302"/>
      <c r="F522" s="302"/>
      <c r="G522" s="302"/>
      <c r="H522" s="302"/>
    </row>
    <row r="523" spans="4:8" ht="12.75" customHeight="1" x14ac:dyDescent="0.3">
      <c r="D523" s="305"/>
      <c r="E523" s="302"/>
      <c r="F523" s="302"/>
      <c r="G523" s="302"/>
      <c r="H523" s="302"/>
    </row>
    <row r="524" spans="4:8" ht="12.75" customHeight="1" x14ac:dyDescent="0.3">
      <c r="D524" s="305"/>
      <c r="E524" s="302"/>
      <c r="F524" s="302"/>
      <c r="G524" s="302"/>
      <c r="H524" s="302"/>
    </row>
    <row r="525" spans="4:8" ht="12.75" customHeight="1" x14ac:dyDescent="0.3">
      <c r="D525" s="305"/>
      <c r="E525" s="302"/>
      <c r="F525" s="302"/>
      <c r="G525" s="302"/>
      <c r="H525" s="302"/>
    </row>
    <row r="526" spans="4:8" ht="12.75" customHeight="1" x14ac:dyDescent="0.3">
      <c r="D526" s="305"/>
      <c r="E526" s="302"/>
      <c r="F526" s="302"/>
      <c r="G526" s="302"/>
      <c r="H526" s="302"/>
    </row>
    <row r="527" spans="4:8" ht="12.75" customHeight="1" x14ac:dyDescent="0.3">
      <c r="D527" s="305"/>
      <c r="E527" s="302"/>
      <c r="F527" s="302"/>
      <c r="G527" s="302"/>
      <c r="H527" s="302"/>
    </row>
    <row r="528" spans="4:8" ht="12.75" customHeight="1" x14ac:dyDescent="0.3">
      <c r="D528" s="305"/>
      <c r="E528" s="302"/>
      <c r="F528" s="302"/>
      <c r="G528" s="302"/>
      <c r="H528" s="302"/>
    </row>
    <row r="529" spans="4:8" ht="12.75" customHeight="1" x14ac:dyDescent="0.3">
      <c r="D529" s="305"/>
      <c r="E529" s="302"/>
      <c r="F529" s="302"/>
      <c r="G529" s="302"/>
      <c r="H529" s="302"/>
    </row>
    <row r="530" spans="4:8" ht="12.75" customHeight="1" x14ac:dyDescent="0.3">
      <c r="D530" s="305"/>
      <c r="E530" s="302"/>
      <c r="F530" s="302"/>
      <c r="G530" s="302"/>
      <c r="H530" s="302"/>
    </row>
    <row r="531" spans="4:8" ht="12.75" customHeight="1" x14ac:dyDescent="0.3">
      <c r="D531" s="305"/>
      <c r="E531" s="302"/>
      <c r="F531" s="302"/>
      <c r="G531" s="302"/>
      <c r="H531" s="302"/>
    </row>
    <row r="532" spans="4:8" ht="12.75" customHeight="1" x14ac:dyDescent="0.3">
      <c r="D532" s="305"/>
      <c r="E532" s="302"/>
      <c r="F532" s="302"/>
      <c r="G532" s="302"/>
      <c r="H532" s="302"/>
    </row>
    <row r="533" spans="4:8" ht="12.75" customHeight="1" x14ac:dyDescent="0.3">
      <c r="D533" s="305"/>
      <c r="E533" s="302"/>
      <c r="F533" s="302"/>
      <c r="G533" s="302"/>
      <c r="H533" s="302"/>
    </row>
    <row r="534" spans="4:8" ht="12.75" customHeight="1" x14ac:dyDescent="0.3">
      <c r="D534" s="305"/>
      <c r="E534" s="302"/>
      <c r="F534" s="302"/>
      <c r="G534" s="302"/>
      <c r="H534" s="302"/>
    </row>
    <row r="535" spans="4:8" ht="12.75" customHeight="1" x14ac:dyDescent="0.3">
      <c r="D535" s="305"/>
      <c r="E535" s="302"/>
      <c r="F535" s="302"/>
      <c r="G535" s="302"/>
      <c r="H535" s="302"/>
    </row>
    <row r="536" spans="4:8" ht="12.75" customHeight="1" x14ac:dyDescent="0.3">
      <c r="D536" s="305"/>
      <c r="E536" s="302"/>
      <c r="F536" s="302"/>
      <c r="G536" s="302"/>
      <c r="H536" s="302"/>
    </row>
    <row r="537" spans="4:8" ht="12.75" customHeight="1" x14ac:dyDescent="0.3">
      <c r="D537" s="305"/>
      <c r="E537" s="302"/>
      <c r="F537" s="302"/>
      <c r="G537" s="302"/>
      <c r="H537" s="302"/>
    </row>
    <row r="538" spans="4:8" ht="12.75" customHeight="1" x14ac:dyDescent="0.3">
      <c r="D538" s="305"/>
      <c r="E538" s="302"/>
      <c r="F538" s="302"/>
      <c r="G538" s="302"/>
      <c r="H538" s="302"/>
    </row>
    <row r="539" spans="4:8" ht="12.75" customHeight="1" x14ac:dyDescent="0.3">
      <c r="D539" s="305"/>
      <c r="E539" s="302"/>
      <c r="F539" s="302"/>
      <c r="G539" s="302"/>
      <c r="H539" s="302"/>
    </row>
    <row r="540" spans="4:8" ht="12.75" customHeight="1" x14ac:dyDescent="0.3">
      <c r="D540" s="305"/>
      <c r="E540" s="302"/>
      <c r="F540" s="302"/>
      <c r="G540" s="302"/>
      <c r="H540" s="302"/>
    </row>
    <row r="541" spans="4:8" ht="12.75" customHeight="1" x14ac:dyDescent="0.3">
      <c r="D541" s="305"/>
      <c r="E541" s="302"/>
      <c r="F541" s="302"/>
      <c r="G541" s="302"/>
      <c r="H541" s="302"/>
    </row>
    <row r="542" spans="4:8" ht="12.75" customHeight="1" x14ac:dyDescent="0.3">
      <c r="D542" s="305"/>
      <c r="E542" s="302"/>
      <c r="F542" s="302"/>
      <c r="G542" s="302"/>
      <c r="H542" s="302"/>
    </row>
    <row r="543" spans="4:8" ht="12.75" customHeight="1" x14ac:dyDescent="0.3">
      <c r="D543" s="305"/>
      <c r="E543" s="302"/>
      <c r="F543" s="302"/>
      <c r="G543" s="302"/>
      <c r="H543" s="302"/>
    </row>
    <row r="544" spans="4:8" ht="12.75" customHeight="1" x14ac:dyDescent="0.3">
      <c r="D544" s="305"/>
      <c r="E544" s="302"/>
      <c r="F544" s="302"/>
      <c r="G544" s="302"/>
      <c r="H544" s="302"/>
    </row>
    <row r="545" spans="4:8" ht="12.75" customHeight="1" x14ac:dyDescent="0.3">
      <c r="D545" s="305"/>
      <c r="E545" s="302"/>
      <c r="F545" s="302"/>
      <c r="G545" s="302"/>
      <c r="H545" s="302"/>
    </row>
    <row r="546" spans="4:8" ht="12.75" customHeight="1" x14ac:dyDescent="0.3">
      <c r="D546" s="305"/>
      <c r="E546" s="302"/>
      <c r="F546" s="302"/>
      <c r="G546" s="302"/>
      <c r="H546" s="302"/>
    </row>
    <row r="547" spans="4:8" ht="12.75" customHeight="1" x14ac:dyDescent="0.3">
      <c r="D547" s="305"/>
      <c r="E547" s="302"/>
      <c r="F547" s="302"/>
      <c r="G547" s="302"/>
      <c r="H547" s="302"/>
    </row>
    <row r="548" spans="4:8" ht="12.75" customHeight="1" x14ac:dyDescent="0.3">
      <c r="D548" s="305"/>
      <c r="E548" s="302"/>
      <c r="F548" s="302"/>
      <c r="G548" s="302"/>
      <c r="H548" s="302"/>
    </row>
    <row r="549" spans="4:8" ht="12.75" customHeight="1" x14ac:dyDescent="0.3">
      <c r="D549" s="305"/>
      <c r="E549" s="302"/>
      <c r="F549" s="302"/>
      <c r="G549" s="302"/>
      <c r="H549" s="302"/>
    </row>
    <row r="550" spans="4:8" ht="12.75" customHeight="1" x14ac:dyDescent="0.3">
      <c r="D550" s="305"/>
      <c r="E550" s="302"/>
      <c r="F550" s="302"/>
      <c r="G550" s="302"/>
      <c r="H550" s="302"/>
    </row>
    <row r="551" spans="4:8" ht="12.75" customHeight="1" x14ac:dyDescent="0.3">
      <c r="D551" s="305"/>
      <c r="E551" s="302"/>
      <c r="F551" s="302"/>
      <c r="G551" s="302"/>
      <c r="H551" s="302"/>
    </row>
    <row r="552" spans="4:8" ht="12.75" customHeight="1" x14ac:dyDescent="0.3">
      <c r="D552" s="305"/>
      <c r="E552" s="302"/>
      <c r="F552" s="302"/>
      <c r="G552" s="302"/>
      <c r="H552" s="302"/>
    </row>
    <row r="553" spans="4:8" ht="12.75" customHeight="1" x14ac:dyDescent="0.3">
      <c r="D553" s="305"/>
      <c r="E553" s="302"/>
      <c r="F553" s="302"/>
      <c r="G553" s="302"/>
      <c r="H553" s="302"/>
    </row>
    <row r="554" spans="4:8" ht="12.75" customHeight="1" x14ac:dyDescent="0.3">
      <c r="D554" s="305"/>
      <c r="E554" s="302"/>
      <c r="F554" s="302"/>
      <c r="G554" s="302"/>
      <c r="H554" s="302"/>
    </row>
    <row r="555" spans="4:8" ht="12.75" customHeight="1" x14ac:dyDescent="0.3">
      <c r="D555" s="305"/>
      <c r="E555" s="302"/>
      <c r="F555" s="302"/>
      <c r="G555" s="302"/>
      <c r="H555" s="302"/>
    </row>
    <row r="556" spans="4:8" ht="12.75" customHeight="1" x14ac:dyDescent="0.3">
      <c r="D556" s="305"/>
      <c r="E556" s="302"/>
      <c r="F556" s="302"/>
      <c r="G556" s="302"/>
      <c r="H556" s="302"/>
    </row>
    <row r="557" spans="4:8" ht="12.75" customHeight="1" x14ac:dyDescent="0.3">
      <c r="D557" s="305"/>
      <c r="E557" s="302"/>
      <c r="F557" s="302"/>
      <c r="G557" s="302"/>
      <c r="H557" s="302"/>
    </row>
    <row r="558" spans="4:8" ht="12.75" customHeight="1" x14ac:dyDescent="0.3">
      <c r="D558" s="305"/>
      <c r="E558" s="302"/>
      <c r="F558" s="302"/>
      <c r="G558" s="302"/>
      <c r="H558" s="302"/>
    </row>
    <row r="559" spans="4:8" ht="12.75" customHeight="1" x14ac:dyDescent="0.3">
      <c r="D559" s="305"/>
      <c r="E559" s="302"/>
      <c r="F559" s="302"/>
      <c r="G559" s="302"/>
      <c r="H559" s="302"/>
    </row>
    <row r="560" spans="4:8" ht="12.75" customHeight="1" x14ac:dyDescent="0.3">
      <c r="D560" s="305"/>
      <c r="E560" s="302"/>
      <c r="F560" s="302"/>
      <c r="G560" s="302"/>
      <c r="H560" s="302"/>
    </row>
    <row r="561" spans="4:8" ht="12.75" customHeight="1" x14ac:dyDescent="0.3">
      <c r="D561" s="305"/>
      <c r="E561" s="302"/>
      <c r="F561" s="302"/>
      <c r="G561" s="302"/>
      <c r="H561" s="302"/>
    </row>
    <row r="562" spans="4:8" ht="12.75" customHeight="1" x14ac:dyDescent="0.3">
      <c r="D562" s="305"/>
      <c r="E562" s="302"/>
      <c r="F562" s="302"/>
      <c r="G562" s="302"/>
      <c r="H562" s="302"/>
    </row>
    <row r="563" spans="4:8" ht="12.75" customHeight="1" x14ac:dyDescent="0.3">
      <c r="D563" s="305"/>
      <c r="E563" s="302"/>
      <c r="F563" s="302"/>
      <c r="G563" s="302"/>
      <c r="H563" s="302"/>
    </row>
    <row r="564" spans="4:8" ht="12.75" customHeight="1" x14ac:dyDescent="0.3">
      <c r="D564" s="305"/>
      <c r="E564" s="302"/>
      <c r="F564" s="302"/>
      <c r="G564" s="302"/>
      <c r="H564" s="302"/>
    </row>
    <row r="565" spans="4:8" ht="12.75" customHeight="1" x14ac:dyDescent="0.3">
      <c r="D565" s="305"/>
      <c r="E565" s="302"/>
      <c r="F565" s="302"/>
      <c r="G565" s="302"/>
      <c r="H565" s="302"/>
    </row>
    <row r="566" spans="4:8" ht="12.75" customHeight="1" x14ac:dyDescent="0.3">
      <c r="D566" s="305"/>
      <c r="E566" s="302"/>
      <c r="F566" s="302"/>
      <c r="G566" s="302"/>
      <c r="H566" s="302"/>
    </row>
    <row r="567" spans="4:8" ht="12.75" customHeight="1" x14ac:dyDescent="0.3">
      <c r="D567" s="305"/>
      <c r="E567" s="302"/>
      <c r="F567" s="302"/>
      <c r="G567" s="302"/>
      <c r="H567" s="302"/>
    </row>
    <row r="568" spans="4:8" ht="12.75" customHeight="1" x14ac:dyDescent="0.3">
      <c r="D568" s="305"/>
      <c r="E568" s="302"/>
      <c r="F568" s="302"/>
      <c r="G568" s="302"/>
      <c r="H568" s="302"/>
    </row>
    <row r="569" spans="4:8" ht="12.75" customHeight="1" x14ac:dyDescent="0.3">
      <c r="D569" s="305"/>
      <c r="E569" s="302"/>
      <c r="F569" s="302"/>
      <c r="G569" s="302"/>
      <c r="H569" s="302"/>
    </row>
    <row r="570" spans="4:8" ht="12.75" customHeight="1" x14ac:dyDescent="0.3">
      <c r="D570" s="305"/>
      <c r="E570" s="302"/>
      <c r="F570" s="302"/>
      <c r="G570" s="302"/>
      <c r="H570" s="302"/>
    </row>
    <row r="571" spans="4:8" ht="12.75" customHeight="1" x14ac:dyDescent="0.3">
      <c r="D571" s="305"/>
      <c r="E571" s="302"/>
      <c r="F571" s="302"/>
      <c r="G571" s="302"/>
      <c r="H571" s="302"/>
    </row>
    <row r="572" spans="4:8" ht="12.75" customHeight="1" x14ac:dyDescent="0.3">
      <c r="D572" s="305"/>
      <c r="E572" s="302"/>
      <c r="F572" s="302"/>
      <c r="G572" s="302"/>
      <c r="H572" s="302"/>
    </row>
    <row r="573" spans="4:8" ht="12.75" customHeight="1" x14ac:dyDescent="0.3">
      <c r="D573" s="305"/>
      <c r="E573" s="302"/>
      <c r="F573" s="302"/>
      <c r="G573" s="302"/>
      <c r="H573" s="302"/>
    </row>
    <row r="574" spans="4:8" ht="12.75" customHeight="1" x14ac:dyDescent="0.3">
      <c r="D574" s="305"/>
      <c r="E574" s="302"/>
      <c r="F574" s="302"/>
      <c r="G574" s="302"/>
      <c r="H574" s="302"/>
    </row>
    <row r="575" spans="4:8" ht="12.75" customHeight="1" x14ac:dyDescent="0.3">
      <c r="D575" s="305"/>
      <c r="E575" s="302"/>
      <c r="F575" s="302"/>
      <c r="G575" s="302"/>
      <c r="H575" s="302"/>
    </row>
    <row r="576" spans="4:8" ht="12.75" customHeight="1" x14ac:dyDescent="0.3">
      <c r="D576" s="305"/>
      <c r="E576" s="302"/>
      <c r="F576" s="302"/>
      <c r="G576" s="302"/>
      <c r="H576" s="302"/>
    </row>
    <row r="577" spans="4:8" ht="12.75" customHeight="1" x14ac:dyDescent="0.3">
      <c r="D577" s="305"/>
      <c r="E577" s="302"/>
      <c r="F577" s="302"/>
      <c r="G577" s="302"/>
      <c r="H577" s="302"/>
    </row>
    <row r="578" spans="4:8" ht="12.75" customHeight="1" x14ac:dyDescent="0.3">
      <c r="D578" s="305"/>
      <c r="E578" s="302"/>
      <c r="F578" s="302"/>
      <c r="G578" s="302"/>
      <c r="H578" s="302"/>
    </row>
    <row r="579" spans="4:8" ht="12.75" customHeight="1" x14ac:dyDescent="0.3">
      <c r="D579" s="305"/>
      <c r="E579" s="302"/>
      <c r="F579" s="302"/>
      <c r="G579" s="302"/>
      <c r="H579" s="302"/>
    </row>
    <row r="580" spans="4:8" ht="12.75" customHeight="1" x14ac:dyDescent="0.3">
      <c r="D580" s="305"/>
      <c r="E580" s="302"/>
      <c r="F580" s="302"/>
      <c r="G580" s="302"/>
      <c r="H580" s="302"/>
    </row>
    <row r="581" spans="4:8" ht="12.75" customHeight="1" x14ac:dyDescent="0.3">
      <c r="D581" s="305"/>
      <c r="E581" s="302"/>
      <c r="F581" s="302"/>
      <c r="G581" s="302"/>
      <c r="H581" s="302"/>
    </row>
    <row r="582" spans="4:8" ht="12.75" customHeight="1" x14ac:dyDescent="0.3">
      <c r="D582" s="305"/>
      <c r="E582" s="302"/>
      <c r="F582" s="302"/>
      <c r="G582" s="302"/>
      <c r="H582" s="302"/>
    </row>
    <row r="583" spans="4:8" ht="12.75" customHeight="1" x14ac:dyDescent="0.3">
      <c r="D583" s="305"/>
      <c r="E583" s="302"/>
      <c r="F583" s="302"/>
      <c r="G583" s="302"/>
      <c r="H583" s="302"/>
    </row>
    <row r="584" spans="4:8" ht="12.75" customHeight="1" x14ac:dyDescent="0.3">
      <c r="D584" s="305"/>
      <c r="E584" s="302"/>
      <c r="F584" s="302"/>
      <c r="G584" s="302"/>
      <c r="H584" s="302"/>
    </row>
    <row r="585" spans="4:8" ht="12.75" customHeight="1" x14ac:dyDescent="0.3">
      <c r="D585" s="305"/>
      <c r="E585" s="302"/>
      <c r="F585" s="302"/>
      <c r="G585" s="302"/>
      <c r="H585" s="302"/>
    </row>
    <row r="586" spans="4:8" ht="12.75" customHeight="1" x14ac:dyDescent="0.3">
      <c r="D586" s="305"/>
      <c r="E586" s="302"/>
      <c r="F586" s="302"/>
      <c r="G586" s="302"/>
      <c r="H586" s="302"/>
    </row>
    <row r="587" spans="4:8" ht="12.75" customHeight="1" x14ac:dyDescent="0.3">
      <c r="D587" s="305"/>
      <c r="E587" s="302"/>
      <c r="F587" s="302"/>
      <c r="G587" s="302"/>
      <c r="H587" s="302"/>
    </row>
    <row r="588" spans="4:8" ht="12.75" customHeight="1" x14ac:dyDescent="0.3">
      <c r="D588" s="305"/>
      <c r="E588" s="302"/>
      <c r="F588" s="302"/>
      <c r="G588" s="302"/>
      <c r="H588" s="302"/>
    </row>
    <row r="589" spans="4:8" ht="12.75" customHeight="1" x14ac:dyDescent="0.3">
      <c r="D589" s="305"/>
      <c r="E589" s="302"/>
      <c r="F589" s="302"/>
      <c r="G589" s="302"/>
      <c r="H589" s="302"/>
    </row>
    <row r="590" spans="4:8" ht="12.75" customHeight="1" x14ac:dyDescent="0.3">
      <c r="D590" s="305"/>
      <c r="E590" s="302"/>
      <c r="F590" s="302"/>
      <c r="G590" s="302"/>
      <c r="H590" s="302"/>
    </row>
    <row r="591" spans="4:8" ht="12.75" customHeight="1" x14ac:dyDescent="0.3">
      <c r="D591" s="305"/>
      <c r="E591" s="302"/>
      <c r="F591" s="302"/>
      <c r="G591" s="302"/>
      <c r="H591" s="302"/>
    </row>
    <row r="592" spans="4:8" ht="12.75" customHeight="1" x14ac:dyDescent="0.3">
      <c r="D592" s="305"/>
      <c r="E592" s="302"/>
      <c r="F592" s="302"/>
      <c r="G592" s="302"/>
      <c r="H592" s="302"/>
    </row>
    <row r="593" spans="4:8" ht="12.75" customHeight="1" x14ac:dyDescent="0.3">
      <c r="D593" s="305"/>
      <c r="E593" s="302"/>
      <c r="F593" s="302"/>
      <c r="G593" s="302"/>
      <c r="H593" s="302"/>
    </row>
    <row r="594" spans="4:8" ht="12.75" customHeight="1" x14ac:dyDescent="0.3">
      <c r="D594" s="305"/>
      <c r="E594" s="302"/>
      <c r="F594" s="302"/>
      <c r="G594" s="302"/>
      <c r="H594" s="302"/>
    </row>
    <row r="595" spans="4:8" ht="12.75" customHeight="1" x14ac:dyDescent="0.3">
      <c r="D595" s="305"/>
      <c r="E595" s="302"/>
      <c r="F595" s="302"/>
      <c r="G595" s="302"/>
      <c r="H595" s="302"/>
    </row>
    <row r="596" spans="4:8" ht="12.75" customHeight="1" x14ac:dyDescent="0.3">
      <c r="D596" s="305"/>
      <c r="E596" s="302"/>
      <c r="F596" s="302"/>
      <c r="G596" s="302"/>
      <c r="H596" s="302"/>
    </row>
    <row r="597" spans="4:8" ht="12.75" customHeight="1" x14ac:dyDescent="0.3">
      <c r="D597" s="305"/>
      <c r="E597" s="302"/>
      <c r="F597" s="302"/>
      <c r="G597" s="302"/>
      <c r="H597" s="302"/>
    </row>
    <row r="598" spans="4:8" ht="12.75" customHeight="1" x14ac:dyDescent="0.3">
      <c r="D598" s="305"/>
      <c r="E598" s="302"/>
      <c r="F598" s="302"/>
      <c r="G598" s="302"/>
      <c r="H598" s="302"/>
    </row>
    <row r="599" spans="4:8" ht="12.75" customHeight="1" x14ac:dyDescent="0.3">
      <c r="D599" s="305"/>
      <c r="E599" s="302"/>
      <c r="F599" s="302"/>
      <c r="G599" s="302"/>
      <c r="H599" s="302"/>
    </row>
    <row r="600" spans="4:8" ht="12.75" customHeight="1" x14ac:dyDescent="0.3">
      <c r="D600" s="305"/>
      <c r="E600" s="302"/>
      <c r="F600" s="302"/>
      <c r="G600" s="302"/>
      <c r="H600" s="302"/>
    </row>
    <row r="601" spans="4:8" ht="12.75" customHeight="1" x14ac:dyDescent="0.3">
      <c r="D601" s="305"/>
      <c r="E601" s="302"/>
      <c r="F601" s="302"/>
      <c r="G601" s="302"/>
      <c r="H601" s="302"/>
    </row>
    <row r="602" spans="4:8" ht="12.75" customHeight="1" x14ac:dyDescent="0.3">
      <c r="D602" s="305"/>
      <c r="E602" s="302"/>
      <c r="F602" s="302"/>
      <c r="G602" s="302"/>
      <c r="H602" s="302"/>
    </row>
    <row r="603" spans="4:8" ht="12.75" customHeight="1" x14ac:dyDescent="0.3">
      <c r="D603" s="305"/>
      <c r="E603" s="302"/>
      <c r="F603" s="302"/>
      <c r="G603" s="302"/>
      <c r="H603" s="302"/>
    </row>
    <row r="604" spans="4:8" ht="12.75" customHeight="1" x14ac:dyDescent="0.3">
      <c r="D604" s="305"/>
      <c r="E604" s="302"/>
      <c r="F604" s="302"/>
      <c r="G604" s="302"/>
      <c r="H604" s="302"/>
    </row>
    <row r="605" spans="4:8" ht="12.75" customHeight="1" x14ac:dyDescent="0.3">
      <c r="D605" s="305"/>
      <c r="E605" s="302"/>
      <c r="F605" s="302"/>
      <c r="G605" s="302"/>
      <c r="H605" s="302"/>
    </row>
    <row r="606" spans="4:8" ht="12.75" customHeight="1" x14ac:dyDescent="0.3">
      <c r="D606" s="305"/>
      <c r="E606" s="302"/>
      <c r="F606" s="302"/>
      <c r="G606" s="302"/>
      <c r="H606" s="302"/>
    </row>
    <row r="607" spans="4:8" ht="12.75" customHeight="1" x14ac:dyDescent="0.3">
      <c r="D607" s="305"/>
      <c r="E607" s="302"/>
      <c r="F607" s="302"/>
      <c r="G607" s="302"/>
      <c r="H607" s="302"/>
    </row>
    <row r="608" spans="4:8" ht="12.75" customHeight="1" x14ac:dyDescent="0.3">
      <c r="D608" s="305"/>
      <c r="E608" s="302"/>
      <c r="F608" s="302"/>
      <c r="G608" s="302"/>
      <c r="H608" s="302"/>
    </row>
    <row r="609" spans="4:8" ht="12.75" customHeight="1" x14ac:dyDescent="0.3">
      <c r="D609" s="305"/>
      <c r="E609" s="302"/>
      <c r="F609" s="302"/>
      <c r="G609" s="302"/>
      <c r="H609" s="302"/>
    </row>
    <row r="610" spans="4:8" ht="12.75" customHeight="1" x14ac:dyDescent="0.3">
      <c r="D610" s="305"/>
      <c r="E610" s="302"/>
      <c r="F610" s="302"/>
      <c r="G610" s="302"/>
      <c r="H610" s="302"/>
    </row>
    <row r="611" spans="4:8" ht="12.75" customHeight="1" x14ac:dyDescent="0.3">
      <c r="D611" s="305"/>
      <c r="E611" s="302"/>
      <c r="F611" s="302"/>
      <c r="G611" s="302"/>
      <c r="H611" s="302"/>
    </row>
    <row r="612" spans="4:8" ht="12.75" customHeight="1" x14ac:dyDescent="0.3">
      <c r="D612" s="305"/>
      <c r="E612" s="302"/>
      <c r="F612" s="302"/>
      <c r="G612" s="302"/>
      <c r="H612" s="302"/>
    </row>
    <row r="613" spans="4:8" ht="12.75" customHeight="1" x14ac:dyDescent="0.3">
      <c r="D613" s="305"/>
      <c r="E613" s="302"/>
      <c r="F613" s="302"/>
      <c r="G613" s="302"/>
      <c r="H613" s="302"/>
    </row>
    <row r="614" spans="4:8" ht="12.75" customHeight="1" x14ac:dyDescent="0.3">
      <c r="D614" s="305"/>
      <c r="E614" s="302"/>
      <c r="F614" s="302"/>
      <c r="G614" s="302"/>
      <c r="H614" s="302"/>
    </row>
    <row r="615" spans="4:8" ht="12.75" customHeight="1" x14ac:dyDescent="0.3">
      <c r="D615" s="305"/>
      <c r="E615" s="302"/>
      <c r="F615" s="302"/>
      <c r="G615" s="302"/>
      <c r="H615" s="302"/>
    </row>
    <row r="616" spans="4:8" ht="12.75" customHeight="1" x14ac:dyDescent="0.3">
      <c r="D616" s="305"/>
      <c r="E616" s="302"/>
      <c r="F616" s="302"/>
      <c r="G616" s="302"/>
      <c r="H616" s="302"/>
    </row>
    <row r="617" spans="4:8" ht="12.75" customHeight="1" x14ac:dyDescent="0.3">
      <c r="D617" s="305"/>
      <c r="E617" s="302"/>
      <c r="F617" s="302"/>
      <c r="G617" s="302"/>
      <c r="H617" s="302"/>
    </row>
    <row r="618" spans="4:8" ht="12.75" customHeight="1" x14ac:dyDescent="0.3">
      <c r="D618" s="305"/>
      <c r="E618" s="302"/>
      <c r="F618" s="302"/>
      <c r="G618" s="302"/>
      <c r="H618" s="302"/>
    </row>
    <row r="619" spans="4:8" ht="12.75" customHeight="1" x14ac:dyDescent="0.3">
      <c r="D619" s="305"/>
      <c r="E619" s="302"/>
      <c r="F619" s="302"/>
      <c r="G619" s="302"/>
      <c r="H619" s="302"/>
    </row>
    <row r="620" spans="4:8" ht="12.75" customHeight="1" x14ac:dyDescent="0.3">
      <c r="D620" s="305"/>
      <c r="E620" s="302"/>
      <c r="F620" s="302"/>
      <c r="G620" s="302"/>
      <c r="H620" s="302"/>
    </row>
    <row r="621" spans="4:8" ht="12.75" customHeight="1" x14ac:dyDescent="0.3">
      <c r="D621" s="305"/>
      <c r="E621" s="302"/>
      <c r="F621" s="302"/>
      <c r="G621" s="302"/>
      <c r="H621" s="302"/>
    </row>
    <row r="622" spans="4:8" ht="12.75" customHeight="1" x14ac:dyDescent="0.3">
      <c r="D622" s="305"/>
      <c r="E622" s="302"/>
      <c r="F622" s="302"/>
      <c r="G622" s="302"/>
      <c r="H622" s="302"/>
    </row>
    <row r="623" spans="4:8" ht="12.75" customHeight="1" x14ac:dyDescent="0.3">
      <c r="D623" s="305"/>
      <c r="E623" s="302"/>
      <c r="F623" s="302"/>
      <c r="G623" s="302"/>
      <c r="H623" s="302"/>
    </row>
    <row r="624" spans="4:8" ht="12.75" customHeight="1" x14ac:dyDescent="0.3">
      <c r="D624" s="305"/>
      <c r="E624" s="302"/>
      <c r="F624" s="302"/>
      <c r="G624" s="302"/>
      <c r="H624" s="302"/>
    </row>
    <row r="625" spans="4:8" ht="12.75" customHeight="1" x14ac:dyDescent="0.3">
      <c r="D625" s="305"/>
      <c r="E625" s="302"/>
      <c r="F625" s="302"/>
      <c r="G625" s="302"/>
      <c r="H625" s="302"/>
    </row>
    <row r="626" spans="4:8" ht="12.75" customHeight="1" x14ac:dyDescent="0.3">
      <c r="D626" s="305"/>
      <c r="E626" s="302"/>
      <c r="F626" s="302"/>
      <c r="G626" s="302"/>
      <c r="H626" s="302"/>
    </row>
    <row r="627" spans="4:8" ht="12.75" customHeight="1" x14ac:dyDescent="0.3">
      <c r="D627" s="305"/>
      <c r="E627" s="302"/>
      <c r="F627" s="302"/>
      <c r="G627" s="302"/>
      <c r="H627" s="302"/>
    </row>
    <row r="628" spans="4:8" ht="12.75" customHeight="1" x14ac:dyDescent="0.3">
      <c r="D628" s="305"/>
      <c r="E628" s="302"/>
      <c r="F628" s="302"/>
      <c r="G628" s="302"/>
      <c r="H628" s="302"/>
    </row>
    <row r="629" spans="4:8" ht="12.75" customHeight="1" x14ac:dyDescent="0.3">
      <c r="D629" s="305"/>
      <c r="E629" s="302"/>
      <c r="F629" s="302"/>
      <c r="G629" s="302"/>
      <c r="H629" s="302"/>
    </row>
    <row r="630" spans="4:8" ht="12.75" customHeight="1" x14ac:dyDescent="0.3">
      <c r="D630" s="305"/>
      <c r="E630" s="302"/>
      <c r="F630" s="302"/>
      <c r="G630" s="302"/>
      <c r="H630" s="302"/>
    </row>
    <row r="631" spans="4:8" ht="12.75" customHeight="1" x14ac:dyDescent="0.3">
      <c r="D631" s="305"/>
      <c r="E631" s="302"/>
      <c r="F631" s="302"/>
      <c r="G631" s="302"/>
      <c r="H631" s="302"/>
    </row>
    <row r="632" spans="4:8" ht="12.75" customHeight="1" x14ac:dyDescent="0.3">
      <c r="D632" s="305"/>
      <c r="E632" s="302"/>
      <c r="F632" s="302"/>
      <c r="G632" s="302"/>
      <c r="H632" s="302"/>
    </row>
    <row r="633" spans="4:8" ht="12.75" customHeight="1" x14ac:dyDescent="0.3">
      <c r="D633" s="305"/>
      <c r="E633" s="302"/>
      <c r="F633" s="302"/>
      <c r="G633" s="302"/>
      <c r="H633" s="302"/>
    </row>
    <row r="634" spans="4:8" ht="12.75" customHeight="1" x14ac:dyDescent="0.3">
      <c r="D634" s="305"/>
      <c r="E634" s="302"/>
      <c r="F634" s="302"/>
      <c r="G634" s="302"/>
      <c r="H634" s="302"/>
    </row>
    <row r="635" spans="4:8" ht="12.75" customHeight="1" x14ac:dyDescent="0.3">
      <c r="D635" s="305"/>
      <c r="E635" s="302"/>
      <c r="F635" s="302"/>
      <c r="G635" s="302"/>
      <c r="H635" s="302"/>
    </row>
    <row r="636" spans="4:8" ht="12.75" customHeight="1" x14ac:dyDescent="0.3">
      <c r="D636" s="305"/>
      <c r="E636" s="302"/>
      <c r="F636" s="302"/>
      <c r="G636" s="302"/>
      <c r="H636" s="302"/>
    </row>
    <row r="637" spans="4:8" ht="12.75" customHeight="1" x14ac:dyDescent="0.3">
      <c r="D637" s="305"/>
      <c r="E637" s="302"/>
      <c r="F637" s="302"/>
      <c r="G637" s="302"/>
      <c r="H637" s="302"/>
    </row>
    <row r="638" spans="4:8" ht="12.75" customHeight="1" x14ac:dyDescent="0.3">
      <c r="D638" s="305"/>
      <c r="E638" s="302"/>
      <c r="F638" s="302"/>
      <c r="G638" s="302"/>
      <c r="H638" s="302"/>
    </row>
    <row r="639" spans="4:8" ht="12.75" customHeight="1" x14ac:dyDescent="0.3">
      <c r="D639" s="305"/>
      <c r="E639" s="302"/>
      <c r="F639" s="302"/>
      <c r="G639" s="302"/>
      <c r="H639" s="302"/>
    </row>
    <row r="640" spans="4:8" ht="12.75" customHeight="1" x14ac:dyDescent="0.3">
      <c r="D640" s="305"/>
      <c r="E640" s="302"/>
      <c r="F640" s="302"/>
      <c r="G640" s="302"/>
      <c r="H640" s="302"/>
    </row>
    <row r="641" spans="4:8" ht="12.75" customHeight="1" x14ac:dyDescent="0.3">
      <c r="D641" s="305"/>
      <c r="E641" s="302"/>
      <c r="F641" s="302"/>
      <c r="G641" s="302"/>
      <c r="H641" s="302"/>
    </row>
    <row r="642" spans="4:8" ht="12.75" customHeight="1" x14ac:dyDescent="0.3">
      <c r="D642" s="305"/>
      <c r="E642" s="302"/>
      <c r="F642" s="302"/>
      <c r="G642" s="302"/>
      <c r="H642" s="302"/>
    </row>
    <row r="643" spans="4:8" ht="12.75" customHeight="1" x14ac:dyDescent="0.3">
      <c r="D643" s="305"/>
      <c r="E643" s="302"/>
      <c r="F643" s="302"/>
      <c r="G643" s="302"/>
      <c r="H643" s="302"/>
    </row>
    <row r="644" spans="4:8" ht="12.75" customHeight="1" x14ac:dyDescent="0.3">
      <c r="D644" s="305"/>
      <c r="E644" s="302"/>
      <c r="F644" s="302"/>
      <c r="G644" s="302"/>
      <c r="H644" s="302"/>
    </row>
    <row r="645" spans="4:8" ht="12.75" customHeight="1" x14ac:dyDescent="0.3">
      <c r="D645" s="305"/>
      <c r="E645" s="302"/>
      <c r="F645" s="302"/>
      <c r="G645" s="302"/>
      <c r="H645" s="302"/>
    </row>
    <row r="646" spans="4:8" ht="12.75" customHeight="1" x14ac:dyDescent="0.3">
      <c r="D646" s="305"/>
      <c r="E646" s="302"/>
      <c r="F646" s="302"/>
      <c r="G646" s="302"/>
      <c r="H646" s="302"/>
    </row>
    <row r="647" spans="4:8" ht="12.75" customHeight="1" x14ac:dyDescent="0.3">
      <c r="D647" s="305"/>
      <c r="E647" s="302"/>
      <c r="F647" s="302"/>
      <c r="G647" s="302"/>
      <c r="H647" s="302"/>
    </row>
    <row r="648" spans="4:8" ht="12.75" customHeight="1" x14ac:dyDescent="0.3">
      <c r="D648" s="305"/>
      <c r="E648" s="302"/>
      <c r="F648" s="302"/>
      <c r="G648" s="302"/>
      <c r="H648" s="302"/>
    </row>
    <row r="649" spans="4:8" ht="12.75" customHeight="1" x14ac:dyDescent="0.3">
      <c r="D649" s="305"/>
      <c r="E649" s="302"/>
      <c r="F649" s="302"/>
      <c r="G649" s="302"/>
      <c r="H649" s="302"/>
    </row>
    <row r="650" spans="4:8" ht="12.75" customHeight="1" x14ac:dyDescent="0.3">
      <c r="D650" s="305"/>
      <c r="E650" s="302"/>
      <c r="F650" s="302"/>
      <c r="G650" s="302"/>
      <c r="H650" s="302"/>
    </row>
    <row r="651" spans="4:8" ht="12.75" customHeight="1" x14ac:dyDescent="0.3">
      <c r="D651" s="305"/>
      <c r="E651" s="302"/>
      <c r="F651" s="302"/>
      <c r="G651" s="302"/>
      <c r="H651" s="302"/>
    </row>
    <row r="652" spans="4:8" ht="12.75" customHeight="1" x14ac:dyDescent="0.3">
      <c r="D652" s="305"/>
      <c r="E652" s="302"/>
      <c r="F652" s="302"/>
      <c r="G652" s="302"/>
      <c r="H652" s="302"/>
    </row>
    <row r="653" spans="4:8" ht="12.75" customHeight="1" x14ac:dyDescent="0.3">
      <c r="D653" s="305"/>
      <c r="E653" s="302"/>
      <c r="F653" s="302"/>
      <c r="G653" s="302"/>
      <c r="H653" s="302"/>
    </row>
    <row r="654" spans="4:8" ht="12.75" customHeight="1" x14ac:dyDescent="0.3">
      <c r="D654" s="305"/>
      <c r="E654" s="302"/>
      <c r="F654" s="302"/>
      <c r="G654" s="302"/>
      <c r="H654" s="302"/>
    </row>
    <row r="655" spans="4:8" ht="12.75" customHeight="1" x14ac:dyDescent="0.3">
      <c r="D655" s="305"/>
      <c r="E655" s="302"/>
      <c r="F655" s="302"/>
      <c r="G655" s="302"/>
      <c r="H655" s="302"/>
    </row>
    <row r="656" spans="4:8" ht="12.75" customHeight="1" x14ac:dyDescent="0.3">
      <c r="D656" s="305"/>
      <c r="E656" s="302"/>
      <c r="F656" s="302"/>
      <c r="G656" s="302"/>
      <c r="H656" s="302"/>
    </row>
    <row r="657" spans="4:8" ht="12.75" customHeight="1" x14ac:dyDescent="0.3">
      <c r="D657" s="305"/>
      <c r="E657" s="302"/>
      <c r="F657" s="302"/>
      <c r="G657" s="302"/>
      <c r="H657" s="302"/>
    </row>
    <row r="658" spans="4:8" ht="12.75" customHeight="1" x14ac:dyDescent="0.3">
      <c r="D658" s="305"/>
      <c r="E658" s="302"/>
      <c r="F658" s="302"/>
      <c r="G658" s="302"/>
      <c r="H658" s="302"/>
    </row>
    <row r="659" spans="4:8" ht="12.75" customHeight="1" x14ac:dyDescent="0.3">
      <c r="D659" s="305"/>
      <c r="E659" s="302"/>
      <c r="F659" s="302"/>
      <c r="G659" s="302"/>
      <c r="H659" s="302"/>
    </row>
    <row r="660" spans="4:8" ht="12.75" customHeight="1" x14ac:dyDescent="0.3">
      <c r="D660" s="305"/>
      <c r="E660" s="302"/>
      <c r="F660" s="302"/>
      <c r="G660" s="302"/>
      <c r="H660" s="302"/>
    </row>
    <row r="661" spans="4:8" ht="12.75" customHeight="1" x14ac:dyDescent="0.3">
      <c r="D661" s="305"/>
      <c r="E661" s="302"/>
      <c r="F661" s="302"/>
      <c r="G661" s="302"/>
      <c r="H661" s="302"/>
    </row>
    <row r="662" spans="4:8" ht="12.75" customHeight="1" x14ac:dyDescent="0.3">
      <c r="D662" s="305"/>
      <c r="E662" s="302"/>
      <c r="F662" s="302"/>
      <c r="G662" s="302"/>
      <c r="H662" s="302"/>
    </row>
    <row r="663" spans="4:8" ht="12.75" customHeight="1" x14ac:dyDescent="0.3">
      <c r="D663" s="305"/>
      <c r="E663" s="302"/>
      <c r="F663" s="302"/>
      <c r="G663" s="302"/>
      <c r="H663" s="302"/>
    </row>
    <row r="664" spans="4:8" ht="12.75" customHeight="1" x14ac:dyDescent="0.3">
      <c r="D664" s="305"/>
      <c r="E664" s="302"/>
      <c r="F664" s="302"/>
      <c r="G664" s="302"/>
      <c r="H664" s="302"/>
    </row>
    <row r="665" spans="4:8" ht="12.75" customHeight="1" x14ac:dyDescent="0.3">
      <c r="D665" s="305"/>
      <c r="E665" s="302"/>
      <c r="F665" s="302"/>
      <c r="G665" s="302"/>
      <c r="H665" s="302"/>
    </row>
    <row r="666" spans="4:8" ht="12.75" customHeight="1" x14ac:dyDescent="0.3">
      <c r="D666" s="305"/>
      <c r="E666" s="302"/>
      <c r="F666" s="302"/>
      <c r="G666" s="302"/>
      <c r="H666" s="302"/>
    </row>
    <row r="667" spans="4:8" ht="12.75" customHeight="1" x14ac:dyDescent="0.3">
      <c r="D667" s="305"/>
      <c r="E667" s="302"/>
      <c r="F667" s="302"/>
      <c r="G667" s="302"/>
      <c r="H667" s="302"/>
    </row>
    <row r="668" spans="4:8" ht="12.75" customHeight="1" x14ac:dyDescent="0.3">
      <c r="D668" s="305"/>
      <c r="E668" s="302"/>
      <c r="F668" s="302"/>
      <c r="G668" s="302"/>
      <c r="H668" s="302"/>
    </row>
    <row r="669" spans="4:8" ht="12.75" customHeight="1" x14ac:dyDescent="0.3">
      <c r="D669" s="305"/>
      <c r="E669" s="302"/>
      <c r="F669" s="302"/>
      <c r="G669" s="302"/>
      <c r="H669" s="302"/>
    </row>
    <row r="670" spans="4:8" ht="12.75" customHeight="1" x14ac:dyDescent="0.3">
      <c r="D670" s="305"/>
      <c r="E670" s="302"/>
      <c r="F670" s="302"/>
      <c r="G670" s="302"/>
      <c r="H670" s="302"/>
    </row>
    <row r="671" spans="4:8" ht="12.75" customHeight="1" x14ac:dyDescent="0.3">
      <c r="D671" s="305"/>
      <c r="E671" s="302"/>
      <c r="F671" s="302"/>
      <c r="G671" s="302"/>
      <c r="H671" s="302"/>
    </row>
    <row r="672" spans="4:8" ht="12.75" customHeight="1" x14ac:dyDescent="0.3">
      <c r="D672" s="305"/>
      <c r="E672" s="302"/>
      <c r="F672" s="302"/>
      <c r="G672" s="302"/>
      <c r="H672" s="302"/>
    </row>
    <row r="673" spans="4:8" ht="12.75" customHeight="1" x14ac:dyDescent="0.3">
      <c r="D673" s="305"/>
      <c r="E673" s="302"/>
      <c r="F673" s="302"/>
      <c r="G673" s="302"/>
      <c r="H673" s="302"/>
    </row>
    <row r="674" spans="4:8" ht="12.75" customHeight="1" x14ac:dyDescent="0.3">
      <c r="D674" s="305"/>
      <c r="E674" s="302"/>
      <c r="F674" s="302"/>
      <c r="G674" s="302"/>
      <c r="H674" s="302"/>
    </row>
    <row r="675" spans="4:8" ht="12.75" customHeight="1" x14ac:dyDescent="0.3">
      <c r="D675" s="305"/>
      <c r="E675" s="302"/>
      <c r="F675" s="302"/>
      <c r="G675" s="302"/>
      <c r="H675" s="302"/>
    </row>
    <row r="676" spans="4:8" ht="12.75" customHeight="1" x14ac:dyDescent="0.3">
      <c r="D676" s="305"/>
      <c r="E676" s="302"/>
      <c r="F676" s="302"/>
      <c r="G676" s="302"/>
      <c r="H676" s="302"/>
    </row>
    <row r="677" spans="4:8" ht="12.75" customHeight="1" x14ac:dyDescent="0.3">
      <c r="D677" s="305"/>
      <c r="E677" s="302"/>
      <c r="F677" s="302"/>
      <c r="G677" s="302"/>
      <c r="H677" s="302"/>
    </row>
    <row r="678" spans="4:8" ht="12.75" customHeight="1" x14ac:dyDescent="0.3">
      <c r="D678" s="305"/>
      <c r="E678" s="302"/>
      <c r="F678" s="302"/>
      <c r="G678" s="302"/>
      <c r="H678" s="302"/>
    </row>
    <row r="679" spans="4:8" ht="12.75" customHeight="1" x14ac:dyDescent="0.3">
      <c r="D679" s="305"/>
      <c r="E679" s="302"/>
      <c r="F679" s="302"/>
      <c r="G679" s="302"/>
      <c r="H679" s="302"/>
    </row>
    <row r="680" spans="4:8" ht="12.75" customHeight="1" x14ac:dyDescent="0.3">
      <c r="D680" s="305"/>
      <c r="E680" s="302"/>
      <c r="F680" s="302"/>
      <c r="G680" s="302"/>
      <c r="H680" s="302"/>
    </row>
    <row r="681" spans="4:8" ht="12.75" customHeight="1" x14ac:dyDescent="0.3">
      <c r="D681" s="305"/>
      <c r="E681" s="302"/>
      <c r="F681" s="302"/>
      <c r="G681" s="302"/>
      <c r="H681" s="302"/>
    </row>
    <row r="682" spans="4:8" ht="12.75" customHeight="1" x14ac:dyDescent="0.3">
      <c r="D682" s="305"/>
      <c r="E682" s="302"/>
      <c r="F682" s="302"/>
      <c r="G682" s="302"/>
      <c r="H682" s="302"/>
    </row>
    <row r="683" spans="4:8" ht="12.75" customHeight="1" x14ac:dyDescent="0.3">
      <c r="D683" s="305"/>
      <c r="E683" s="302"/>
      <c r="F683" s="302"/>
      <c r="G683" s="302"/>
      <c r="H683" s="302"/>
    </row>
    <row r="684" spans="4:8" ht="12.75" customHeight="1" x14ac:dyDescent="0.3">
      <c r="D684" s="305"/>
      <c r="E684" s="302"/>
      <c r="F684" s="302"/>
      <c r="G684" s="302"/>
      <c r="H684" s="302"/>
    </row>
    <row r="685" spans="4:8" ht="12.75" customHeight="1" x14ac:dyDescent="0.3">
      <c r="D685" s="305"/>
      <c r="E685" s="302"/>
      <c r="F685" s="302"/>
      <c r="G685" s="302"/>
      <c r="H685" s="302"/>
    </row>
    <row r="686" spans="4:8" ht="12.75" customHeight="1" x14ac:dyDescent="0.3">
      <c r="D686" s="305"/>
      <c r="E686" s="302"/>
      <c r="F686" s="302"/>
      <c r="G686" s="302"/>
      <c r="H686" s="302"/>
    </row>
    <row r="687" spans="4:8" ht="12.75" customHeight="1" x14ac:dyDescent="0.3">
      <c r="D687" s="305"/>
      <c r="E687" s="302"/>
      <c r="F687" s="302"/>
      <c r="G687" s="302"/>
      <c r="H687" s="302"/>
    </row>
    <row r="688" spans="4:8" ht="12.75" customHeight="1" x14ac:dyDescent="0.3">
      <c r="D688" s="305"/>
      <c r="E688" s="302"/>
      <c r="F688" s="302"/>
      <c r="G688" s="302"/>
      <c r="H688" s="302"/>
    </row>
    <row r="689" spans="4:8" ht="12.75" customHeight="1" x14ac:dyDescent="0.3">
      <c r="D689" s="305"/>
      <c r="E689" s="302"/>
      <c r="F689" s="302"/>
      <c r="G689" s="302"/>
      <c r="H689" s="302"/>
    </row>
    <row r="690" spans="4:8" ht="12.75" customHeight="1" x14ac:dyDescent="0.3">
      <c r="D690" s="305"/>
      <c r="E690" s="302"/>
      <c r="F690" s="302"/>
      <c r="G690" s="302"/>
      <c r="H690" s="302"/>
    </row>
    <row r="691" spans="4:8" ht="12.75" customHeight="1" x14ac:dyDescent="0.3">
      <c r="D691" s="305"/>
      <c r="E691" s="302"/>
      <c r="F691" s="302"/>
      <c r="G691" s="302"/>
      <c r="H691" s="302"/>
    </row>
    <row r="692" spans="4:8" ht="12.75" customHeight="1" x14ac:dyDescent="0.3">
      <c r="D692" s="305"/>
      <c r="E692" s="302"/>
      <c r="F692" s="302"/>
      <c r="G692" s="302"/>
      <c r="H692" s="302"/>
    </row>
    <row r="693" spans="4:8" ht="12.75" customHeight="1" x14ac:dyDescent="0.3">
      <c r="D693" s="305"/>
      <c r="E693" s="302"/>
      <c r="F693" s="302"/>
      <c r="G693" s="302"/>
      <c r="H693" s="302"/>
    </row>
    <row r="694" spans="4:8" ht="12.75" customHeight="1" x14ac:dyDescent="0.3">
      <c r="D694" s="305"/>
      <c r="E694" s="302"/>
      <c r="F694" s="302"/>
      <c r="G694" s="302"/>
      <c r="H694" s="302"/>
    </row>
    <row r="695" spans="4:8" ht="12.75" customHeight="1" x14ac:dyDescent="0.3">
      <c r="D695" s="305"/>
      <c r="E695" s="302"/>
      <c r="F695" s="302"/>
      <c r="G695" s="302"/>
      <c r="H695" s="302"/>
    </row>
    <row r="696" spans="4:8" ht="12.75" customHeight="1" x14ac:dyDescent="0.3">
      <c r="D696" s="305"/>
      <c r="E696" s="302"/>
      <c r="F696" s="302"/>
      <c r="G696" s="302"/>
      <c r="H696" s="302"/>
    </row>
    <row r="697" spans="4:8" ht="12.75" customHeight="1" x14ac:dyDescent="0.3">
      <c r="D697" s="305"/>
      <c r="E697" s="302"/>
      <c r="F697" s="302"/>
      <c r="G697" s="302"/>
      <c r="H697" s="302"/>
    </row>
    <row r="698" spans="4:8" ht="12.75" customHeight="1" x14ac:dyDescent="0.3">
      <c r="D698" s="305"/>
      <c r="E698" s="302"/>
      <c r="F698" s="302"/>
      <c r="G698" s="302"/>
      <c r="H698" s="302"/>
    </row>
    <row r="699" spans="4:8" ht="12.75" customHeight="1" x14ac:dyDescent="0.3">
      <c r="D699" s="305"/>
      <c r="E699" s="302"/>
      <c r="F699" s="302"/>
      <c r="G699" s="302"/>
      <c r="H699" s="302"/>
    </row>
    <row r="700" spans="4:8" ht="12.75" customHeight="1" x14ac:dyDescent="0.3">
      <c r="D700" s="305"/>
      <c r="E700" s="302"/>
      <c r="F700" s="302"/>
      <c r="G700" s="302"/>
      <c r="H700" s="302"/>
    </row>
    <row r="701" spans="4:8" ht="12.75" customHeight="1" x14ac:dyDescent="0.3">
      <c r="D701" s="305"/>
      <c r="E701" s="302"/>
      <c r="F701" s="302"/>
      <c r="G701" s="302"/>
      <c r="H701" s="302"/>
    </row>
    <row r="702" spans="4:8" ht="12.75" customHeight="1" x14ac:dyDescent="0.3">
      <c r="D702" s="305"/>
      <c r="E702" s="302"/>
      <c r="F702" s="302"/>
      <c r="G702" s="302"/>
      <c r="H702" s="302"/>
    </row>
    <row r="703" spans="4:8" ht="12.75" customHeight="1" x14ac:dyDescent="0.3">
      <c r="D703" s="305"/>
      <c r="E703" s="302"/>
      <c r="F703" s="302"/>
      <c r="G703" s="302"/>
      <c r="H703" s="302"/>
    </row>
    <row r="704" spans="4:8" ht="12.75" customHeight="1" x14ac:dyDescent="0.3">
      <c r="D704" s="305"/>
      <c r="E704" s="302"/>
      <c r="F704" s="302"/>
      <c r="G704" s="302"/>
      <c r="H704" s="302"/>
    </row>
    <row r="705" spans="4:8" ht="12.75" customHeight="1" x14ac:dyDescent="0.3">
      <c r="D705" s="305"/>
      <c r="E705" s="302"/>
      <c r="F705" s="302"/>
      <c r="G705" s="302"/>
      <c r="H705" s="302"/>
    </row>
    <row r="706" spans="4:8" ht="12.75" customHeight="1" x14ac:dyDescent="0.3">
      <c r="D706" s="305"/>
      <c r="E706" s="302"/>
      <c r="F706" s="302"/>
      <c r="G706" s="302"/>
      <c r="H706" s="302"/>
    </row>
    <row r="707" spans="4:8" ht="12.75" customHeight="1" x14ac:dyDescent="0.3">
      <c r="D707" s="305"/>
      <c r="E707" s="302"/>
      <c r="F707" s="302"/>
      <c r="G707" s="302"/>
      <c r="H707" s="302"/>
    </row>
    <row r="708" spans="4:8" ht="12.75" customHeight="1" x14ac:dyDescent="0.3">
      <c r="D708" s="305"/>
      <c r="E708" s="302"/>
      <c r="F708" s="302"/>
      <c r="G708" s="302"/>
      <c r="H708" s="302"/>
    </row>
    <row r="709" spans="4:8" ht="12.75" customHeight="1" x14ac:dyDescent="0.3">
      <c r="D709" s="305"/>
      <c r="E709" s="302"/>
      <c r="F709" s="302"/>
      <c r="G709" s="302"/>
      <c r="H709" s="302"/>
    </row>
    <row r="710" spans="4:8" ht="12.75" customHeight="1" x14ac:dyDescent="0.3">
      <c r="D710" s="305"/>
      <c r="E710" s="302"/>
      <c r="F710" s="302"/>
      <c r="G710" s="302"/>
      <c r="H710" s="302"/>
    </row>
    <row r="711" spans="4:8" ht="12.75" customHeight="1" x14ac:dyDescent="0.3">
      <c r="D711" s="305"/>
      <c r="E711" s="302"/>
      <c r="F711" s="302"/>
      <c r="G711" s="302"/>
      <c r="H711" s="302"/>
    </row>
    <row r="712" spans="4:8" ht="12.75" customHeight="1" x14ac:dyDescent="0.3">
      <c r="D712" s="305"/>
      <c r="E712" s="302"/>
      <c r="F712" s="302"/>
      <c r="G712" s="302"/>
      <c r="H712" s="302"/>
    </row>
    <row r="713" spans="4:8" ht="12.75" customHeight="1" x14ac:dyDescent="0.3">
      <c r="D713" s="305"/>
      <c r="E713" s="302"/>
      <c r="F713" s="302"/>
      <c r="G713" s="302"/>
      <c r="H713" s="302"/>
    </row>
    <row r="714" spans="4:8" ht="12.75" customHeight="1" x14ac:dyDescent="0.3">
      <c r="D714" s="305"/>
      <c r="E714" s="302"/>
      <c r="F714" s="302"/>
      <c r="G714" s="302"/>
      <c r="H714" s="302"/>
    </row>
    <row r="715" spans="4:8" ht="12.75" customHeight="1" x14ac:dyDescent="0.3">
      <c r="D715" s="305"/>
      <c r="E715" s="302"/>
      <c r="F715" s="302"/>
      <c r="G715" s="302"/>
      <c r="H715" s="302"/>
    </row>
    <row r="716" spans="4:8" ht="12.75" customHeight="1" x14ac:dyDescent="0.3">
      <c r="D716" s="305"/>
      <c r="E716" s="302"/>
      <c r="F716" s="302"/>
      <c r="G716" s="302"/>
      <c r="H716" s="302"/>
    </row>
    <row r="717" spans="4:8" ht="12.75" customHeight="1" x14ac:dyDescent="0.3">
      <c r="D717" s="305"/>
      <c r="E717" s="302"/>
      <c r="F717" s="302"/>
      <c r="G717" s="302"/>
      <c r="H717" s="302"/>
    </row>
    <row r="718" spans="4:8" ht="12.75" customHeight="1" x14ac:dyDescent="0.3">
      <c r="D718" s="305"/>
      <c r="E718" s="302"/>
      <c r="F718" s="302"/>
      <c r="G718" s="302"/>
      <c r="H718" s="302"/>
    </row>
    <row r="719" spans="4:8" ht="12.75" customHeight="1" x14ac:dyDescent="0.3">
      <c r="D719" s="305"/>
      <c r="E719" s="302"/>
      <c r="F719" s="302"/>
      <c r="G719" s="302"/>
      <c r="H719" s="302"/>
    </row>
    <row r="720" spans="4:8" ht="12.75" customHeight="1" x14ac:dyDescent="0.3">
      <c r="D720" s="305"/>
      <c r="E720" s="302"/>
      <c r="F720" s="302"/>
      <c r="G720" s="302"/>
      <c r="H720" s="302"/>
    </row>
    <row r="721" spans="4:8" ht="12.75" customHeight="1" x14ac:dyDescent="0.3">
      <c r="D721" s="305"/>
      <c r="E721" s="302"/>
      <c r="F721" s="302"/>
      <c r="G721" s="302"/>
      <c r="H721" s="302"/>
    </row>
    <row r="722" spans="4:8" ht="12.75" customHeight="1" x14ac:dyDescent="0.3">
      <c r="D722" s="305"/>
      <c r="E722" s="302"/>
      <c r="F722" s="302"/>
      <c r="G722" s="302"/>
      <c r="H722" s="302"/>
    </row>
    <row r="723" spans="4:8" ht="12.75" customHeight="1" x14ac:dyDescent="0.3">
      <c r="D723" s="305"/>
      <c r="E723" s="302"/>
      <c r="F723" s="302"/>
      <c r="G723" s="302"/>
      <c r="H723" s="302"/>
    </row>
    <row r="724" spans="4:8" ht="12.75" customHeight="1" x14ac:dyDescent="0.3">
      <c r="D724" s="305"/>
      <c r="E724" s="302"/>
      <c r="F724" s="302"/>
      <c r="G724" s="302"/>
      <c r="H724" s="302"/>
    </row>
    <row r="725" spans="4:8" ht="12.75" customHeight="1" x14ac:dyDescent="0.3">
      <c r="D725" s="305"/>
      <c r="E725" s="302"/>
      <c r="F725" s="302"/>
      <c r="G725" s="302"/>
      <c r="H725" s="302"/>
    </row>
    <row r="726" spans="4:8" ht="12.75" customHeight="1" x14ac:dyDescent="0.3">
      <c r="D726" s="305"/>
      <c r="E726" s="302"/>
      <c r="F726" s="302"/>
      <c r="G726" s="302"/>
      <c r="H726" s="302"/>
    </row>
    <row r="727" spans="4:8" ht="12.75" customHeight="1" x14ac:dyDescent="0.3">
      <c r="D727" s="305"/>
      <c r="E727" s="302"/>
      <c r="F727" s="302"/>
      <c r="G727" s="302"/>
      <c r="H727" s="302"/>
    </row>
    <row r="728" spans="4:8" ht="12.75" customHeight="1" x14ac:dyDescent="0.3">
      <c r="D728" s="305"/>
      <c r="E728" s="302"/>
      <c r="F728" s="302"/>
      <c r="G728" s="302"/>
      <c r="H728" s="302"/>
    </row>
    <row r="729" spans="4:8" ht="12.75" customHeight="1" x14ac:dyDescent="0.3">
      <c r="D729" s="305"/>
      <c r="E729" s="302"/>
      <c r="F729" s="302"/>
      <c r="G729" s="302"/>
      <c r="H729" s="302"/>
    </row>
    <row r="730" spans="4:8" ht="12.75" customHeight="1" x14ac:dyDescent="0.3">
      <c r="D730" s="305"/>
      <c r="E730" s="302"/>
      <c r="F730" s="302"/>
      <c r="G730" s="302"/>
      <c r="H730" s="302"/>
    </row>
    <row r="731" spans="4:8" ht="12.75" customHeight="1" x14ac:dyDescent="0.3">
      <c r="D731" s="305"/>
      <c r="E731" s="302"/>
      <c r="F731" s="302"/>
      <c r="G731" s="302"/>
      <c r="H731" s="302"/>
    </row>
    <row r="732" spans="4:8" ht="12.75" customHeight="1" x14ac:dyDescent="0.3">
      <c r="D732" s="305"/>
      <c r="E732" s="302"/>
      <c r="F732" s="302"/>
      <c r="G732" s="302"/>
      <c r="H732" s="302"/>
    </row>
    <row r="733" spans="4:8" ht="12.75" customHeight="1" x14ac:dyDescent="0.3">
      <c r="D733" s="305"/>
      <c r="E733" s="302"/>
      <c r="F733" s="302"/>
      <c r="G733" s="302"/>
      <c r="H733" s="302"/>
    </row>
    <row r="734" spans="4:8" ht="12.75" customHeight="1" x14ac:dyDescent="0.3">
      <c r="D734" s="305"/>
      <c r="E734" s="302"/>
      <c r="F734" s="302"/>
      <c r="G734" s="302"/>
      <c r="H734" s="302"/>
    </row>
    <row r="735" spans="4:8" ht="12.75" customHeight="1" x14ac:dyDescent="0.3">
      <c r="D735" s="305"/>
      <c r="E735" s="302"/>
      <c r="F735" s="302"/>
      <c r="G735" s="302"/>
      <c r="H735" s="302"/>
    </row>
    <row r="736" spans="4:8" ht="12.75" customHeight="1" x14ac:dyDescent="0.3">
      <c r="D736" s="305"/>
      <c r="E736" s="302"/>
      <c r="F736" s="302"/>
      <c r="G736" s="302"/>
      <c r="H736" s="302"/>
    </row>
    <row r="737" spans="4:8" ht="12.75" customHeight="1" x14ac:dyDescent="0.3">
      <c r="D737" s="305"/>
      <c r="E737" s="302"/>
      <c r="F737" s="302"/>
      <c r="G737" s="302"/>
      <c r="H737" s="302"/>
    </row>
    <row r="738" spans="4:8" ht="12.75" customHeight="1" x14ac:dyDescent="0.3">
      <c r="D738" s="305"/>
      <c r="E738" s="302"/>
      <c r="F738" s="302"/>
      <c r="G738" s="302"/>
      <c r="H738" s="302"/>
    </row>
    <row r="739" spans="4:8" ht="12.75" customHeight="1" x14ac:dyDescent="0.3">
      <c r="D739" s="305"/>
      <c r="E739" s="302"/>
      <c r="F739" s="302"/>
      <c r="G739" s="302"/>
      <c r="H739" s="302"/>
    </row>
    <row r="740" spans="4:8" ht="12.75" customHeight="1" x14ac:dyDescent="0.3">
      <c r="D740" s="305"/>
      <c r="E740" s="302"/>
      <c r="F740" s="302"/>
      <c r="G740" s="302"/>
      <c r="H740" s="302"/>
    </row>
    <row r="741" spans="4:8" ht="12.75" customHeight="1" x14ac:dyDescent="0.3">
      <c r="D741" s="305"/>
      <c r="E741" s="302"/>
      <c r="F741" s="302"/>
      <c r="G741" s="302"/>
      <c r="H741" s="302"/>
    </row>
    <row r="742" spans="4:8" ht="12.75" customHeight="1" x14ac:dyDescent="0.3">
      <c r="D742" s="305"/>
      <c r="E742" s="302"/>
      <c r="F742" s="302"/>
      <c r="G742" s="302"/>
      <c r="H742" s="302"/>
    </row>
    <row r="743" spans="4:8" ht="13.5" customHeight="1" x14ac:dyDescent="0.3">
      <c r="D743" s="305"/>
      <c r="E743" s="302"/>
      <c r="F743" s="302"/>
      <c r="G743" s="302"/>
      <c r="H743" s="302"/>
    </row>
    <row r="744" spans="4:8" ht="12.75" customHeight="1" x14ac:dyDescent="0.3">
      <c r="D744" s="305"/>
      <c r="E744" s="302"/>
      <c r="F744" s="302"/>
      <c r="G744" s="302"/>
      <c r="H744" s="302"/>
    </row>
    <row r="745" spans="4:8" ht="12.75" customHeight="1" x14ac:dyDescent="0.3">
      <c r="D745" s="305"/>
      <c r="E745" s="302"/>
      <c r="F745" s="302"/>
      <c r="G745" s="302"/>
      <c r="H745" s="302"/>
    </row>
    <row r="746" spans="4:8" ht="12.75" customHeight="1" x14ac:dyDescent="0.3">
      <c r="D746" s="305"/>
      <c r="E746" s="302"/>
      <c r="F746" s="302"/>
      <c r="G746" s="302"/>
      <c r="H746" s="302"/>
    </row>
    <row r="747" spans="4:8" ht="12.75" customHeight="1" x14ac:dyDescent="0.3">
      <c r="D747" s="305"/>
      <c r="E747" s="302"/>
      <c r="F747" s="302"/>
      <c r="G747" s="302"/>
      <c r="H747" s="302"/>
    </row>
    <row r="748" spans="4:8" ht="12.75" customHeight="1" x14ac:dyDescent="0.3">
      <c r="D748" s="305"/>
      <c r="E748" s="302"/>
      <c r="F748" s="302"/>
      <c r="G748" s="302"/>
      <c r="H748" s="302"/>
    </row>
    <row r="749" spans="4:8" ht="12.75" customHeight="1" x14ac:dyDescent="0.3">
      <c r="D749" s="305"/>
      <c r="E749" s="302"/>
      <c r="F749" s="302"/>
      <c r="G749" s="302"/>
      <c r="H749" s="302"/>
    </row>
    <row r="750" spans="4:8" ht="12.75" customHeight="1" x14ac:dyDescent="0.3">
      <c r="D750" s="305"/>
      <c r="E750" s="302"/>
      <c r="F750" s="302"/>
      <c r="G750" s="302"/>
      <c r="H750" s="302"/>
    </row>
    <row r="751" spans="4:8" ht="12.75" customHeight="1" x14ac:dyDescent="0.3">
      <c r="D751" s="305"/>
      <c r="E751" s="302"/>
      <c r="F751" s="302"/>
      <c r="G751" s="302"/>
      <c r="H751" s="302"/>
    </row>
    <row r="752" spans="4:8" ht="12.75" customHeight="1" x14ac:dyDescent="0.3">
      <c r="D752" s="305"/>
      <c r="E752" s="302"/>
      <c r="F752" s="302"/>
      <c r="G752" s="302"/>
      <c r="H752" s="302"/>
    </row>
    <row r="753" spans="4:8" ht="12.75" customHeight="1" x14ac:dyDescent="0.3">
      <c r="D753" s="305"/>
      <c r="E753" s="302"/>
      <c r="F753" s="302"/>
      <c r="G753" s="302"/>
      <c r="H753" s="302"/>
    </row>
    <row r="754" spans="4:8" ht="12.75" customHeight="1" x14ac:dyDescent="0.3">
      <c r="D754" s="305"/>
      <c r="E754" s="302"/>
      <c r="F754" s="302"/>
      <c r="G754" s="302"/>
      <c r="H754" s="302"/>
    </row>
    <row r="755" spans="4:8" ht="12.75" customHeight="1" x14ac:dyDescent="0.3">
      <c r="D755" s="305"/>
      <c r="E755" s="302"/>
      <c r="F755" s="302"/>
      <c r="G755" s="302"/>
      <c r="H755" s="302"/>
    </row>
    <row r="756" spans="4:8" ht="12.75" customHeight="1" x14ac:dyDescent="0.3">
      <c r="D756" s="305"/>
      <c r="E756" s="302"/>
      <c r="F756" s="302"/>
      <c r="G756" s="302"/>
      <c r="H756" s="302"/>
    </row>
    <row r="757" spans="4:8" ht="12.75" customHeight="1" x14ac:dyDescent="0.3">
      <c r="D757" s="305"/>
      <c r="E757" s="302"/>
      <c r="F757" s="302"/>
      <c r="G757" s="302"/>
      <c r="H757" s="302"/>
    </row>
    <row r="758" spans="4:8" ht="12.75" customHeight="1" x14ac:dyDescent="0.3">
      <c r="D758" s="305"/>
      <c r="E758" s="302"/>
      <c r="F758" s="302"/>
      <c r="G758" s="302"/>
      <c r="H758" s="302"/>
    </row>
    <row r="759" spans="4:8" ht="12.75" customHeight="1" x14ac:dyDescent="0.3">
      <c r="D759" s="305"/>
      <c r="E759" s="302"/>
      <c r="F759" s="302"/>
      <c r="G759" s="302"/>
      <c r="H759" s="302"/>
    </row>
    <row r="760" spans="4:8" ht="12.75" customHeight="1" x14ac:dyDescent="0.3">
      <c r="D760" s="305"/>
      <c r="E760" s="302"/>
      <c r="F760" s="302"/>
      <c r="G760" s="302"/>
      <c r="H760" s="302"/>
    </row>
    <row r="761" spans="4:8" ht="12.75" customHeight="1" x14ac:dyDescent="0.3">
      <c r="D761" s="305"/>
      <c r="E761" s="302"/>
      <c r="F761" s="302"/>
      <c r="G761" s="302"/>
      <c r="H761" s="302"/>
    </row>
    <row r="762" spans="4:8" ht="12.75" customHeight="1" x14ac:dyDescent="0.3">
      <c r="D762" s="305"/>
      <c r="E762" s="302"/>
      <c r="F762" s="302"/>
      <c r="G762" s="302"/>
      <c r="H762" s="302"/>
    </row>
    <row r="763" spans="4:8" ht="12.75" customHeight="1" x14ac:dyDescent="0.3">
      <c r="D763" s="305"/>
      <c r="E763" s="302"/>
      <c r="F763" s="302"/>
      <c r="G763" s="302"/>
      <c r="H763" s="302"/>
    </row>
    <row r="764" spans="4:8" ht="12.75" customHeight="1" x14ac:dyDescent="0.3">
      <c r="D764" s="305"/>
      <c r="E764" s="302"/>
      <c r="F764" s="302"/>
      <c r="G764" s="302"/>
      <c r="H764" s="302"/>
    </row>
    <row r="765" spans="4:8" ht="12.75" customHeight="1" x14ac:dyDescent="0.3">
      <c r="D765" s="305"/>
      <c r="E765" s="302"/>
      <c r="F765" s="302"/>
      <c r="G765" s="302"/>
      <c r="H765" s="302"/>
    </row>
    <row r="766" spans="4:8" ht="12.75" customHeight="1" x14ac:dyDescent="0.3">
      <c r="D766" s="305"/>
      <c r="E766" s="302"/>
      <c r="F766" s="302"/>
      <c r="G766" s="302"/>
      <c r="H766" s="302"/>
    </row>
    <row r="767" spans="4:8" ht="12.75" customHeight="1" x14ac:dyDescent="0.3">
      <c r="D767" s="305"/>
      <c r="E767" s="302"/>
      <c r="F767" s="302"/>
      <c r="G767" s="302"/>
      <c r="H767" s="302"/>
    </row>
    <row r="768" spans="4:8" ht="12.75" customHeight="1" x14ac:dyDescent="0.3">
      <c r="D768" s="305"/>
      <c r="E768" s="302"/>
      <c r="F768" s="302"/>
      <c r="G768" s="302"/>
      <c r="H768" s="302"/>
    </row>
    <row r="769" spans="4:30" ht="12.75" customHeight="1" x14ac:dyDescent="0.3">
      <c r="D769" s="305"/>
      <c r="E769" s="302"/>
      <c r="F769" s="302"/>
      <c r="G769" s="302"/>
      <c r="H769" s="302"/>
    </row>
    <row r="770" spans="4:30" ht="12.75" customHeight="1" x14ac:dyDescent="0.3">
      <c r="D770" s="305"/>
      <c r="E770" s="302"/>
      <c r="F770" s="302"/>
      <c r="G770" s="302"/>
      <c r="H770" s="302"/>
      <c r="AD770" s="91">
        <v>1</v>
      </c>
    </row>
    <row r="771" spans="4:30" ht="12.75" customHeight="1" x14ac:dyDescent="0.3">
      <c r="D771" s="305"/>
      <c r="E771" s="302"/>
      <c r="F771" s="302"/>
      <c r="G771" s="302"/>
      <c r="H771" s="302"/>
    </row>
    <row r="772" spans="4:30" ht="12.75" customHeight="1" x14ac:dyDescent="0.3">
      <c r="D772" s="305"/>
      <c r="E772" s="302"/>
      <c r="F772" s="302"/>
      <c r="G772" s="302"/>
      <c r="H772" s="302"/>
    </row>
    <row r="773" spans="4:30" ht="12.75" customHeight="1" x14ac:dyDescent="0.3">
      <c r="D773" s="305"/>
      <c r="E773" s="302"/>
      <c r="F773" s="302"/>
      <c r="G773" s="302"/>
      <c r="H773" s="302"/>
    </row>
    <row r="774" spans="4:30" ht="12.75" customHeight="1" x14ac:dyDescent="0.3">
      <c r="D774" s="305"/>
      <c r="E774" s="302"/>
      <c r="F774" s="302"/>
      <c r="G774" s="302"/>
      <c r="H774" s="302"/>
    </row>
    <row r="775" spans="4:30" ht="12.75" customHeight="1" x14ac:dyDescent="0.3">
      <c r="D775" s="305"/>
      <c r="E775" s="302"/>
      <c r="F775" s="302"/>
      <c r="G775" s="302"/>
      <c r="H775" s="302"/>
    </row>
    <row r="776" spans="4:30" ht="12.75" customHeight="1" x14ac:dyDescent="0.3">
      <c r="D776" s="305"/>
      <c r="E776" s="302"/>
      <c r="F776" s="302"/>
      <c r="G776" s="302"/>
      <c r="H776" s="302"/>
    </row>
    <row r="777" spans="4:30" ht="12.75" customHeight="1" x14ac:dyDescent="0.3">
      <c r="D777" s="305"/>
      <c r="E777" s="302"/>
      <c r="F777" s="302"/>
      <c r="G777" s="302"/>
      <c r="H777" s="302"/>
    </row>
    <row r="778" spans="4:30" ht="12.75" customHeight="1" x14ac:dyDescent="0.3">
      <c r="D778" s="305"/>
      <c r="E778" s="302"/>
      <c r="F778" s="302"/>
      <c r="G778" s="302"/>
      <c r="H778" s="302"/>
    </row>
    <row r="779" spans="4:30" ht="12.75" customHeight="1" x14ac:dyDescent="0.3">
      <c r="D779" s="305"/>
      <c r="E779" s="302"/>
      <c r="F779" s="302"/>
      <c r="G779" s="302"/>
      <c r="H779" s="302"/>
    </row>
    <row r="780" spans="4:30" ht="12.75" customHeight="1" x14ac:dyDescent="0.3">
      <c r="D780" s="305"/>
      <c r="E780" s="302"/>
      <c r="F780" s="302"/>
      <c r="G780" s="302"/>
      <c r="H780" s="302"/>
    </row>
    <row r="781" spans="4:30" ht="12.75" customHeight="1" x14ac:dyDescent="0.3">
      <c r="D781" s="305"/>
      <c r="F781" s="302"/>
      <c r="G781" s="302"/>
      <c r="H781" s="302"/>
    </row>
    <row r="782" spans="4:30" ht="12.75" customHeight="1" x14ac:dyDescent="0.3">
      <c r="D782" s="305"/>
      <c r="F782" s="302"/>
      <c r="G782" s="302"/>
      <c r="H782" s="302"/>
    </row>
    <row r="783" spans="4:30" ht="12.75" customHeight="1" x14ac:dyDescent="0.3"/>
    <row r="784" spans="4:30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</sheetData>
  <mergeCells count="278"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F20:I20"/>
    <mergeCell ref="K20:L20"/>
    <mergeCell ref="N20:O20"/>
    <mergeCell ref="P20:Q20"/>
    <mergeCell ref="T20:U20"/>
    <mergeCell ref="Y20:Z20"/>
    <mergeCell ref="T18:U18"/>
    <mergeCell ref="Y18:Z18"/>
    <mergeCell ref="F19:I19"/>
    <mergeCell ref="K19:L19"/>
    <mergeCell ref="N19:O19"/>
    <mergeCell ref="P19:Q19"/>
    <mergeCell ref="T19:U19"/>
    <mergeCell ref="Y19:Z19"/>
    <mergeCell ref="K21:L21"/>
    <mergeCell ref="N21:O21"/>
    <mergeCell ref="P21:Q21"/>
    <mergeCell ref="T21:U21"/>
    <mergeCell ref="F22:I22"/>
    <mergeCell ref="K22:L22"/>
    <mergeCell ref="N22:O22"/>
    <mergeCell ref="P22:Q22"/>
    <mergeCell ref="T22:U22"/>
    <mergeCell ref="B25:C25"/>
    <mergeCell ref="H25:I25"/>
    <mergeCell ref="K25:L25"/>
    <mergeCell ref="N25:O25"/>
    <mergeCell ref="P25:Q25"/>
    <mergeCell ref="T25:U25"/>
    <mergeCell ref="K23:L23"/>
    <mergeCell ref="N23:O23"/>
    <mergeCell ref="P23:Q23"/>
    <mergeCell ref="T23:U23"/>
    <mergeCell ref="F24:I24"/>
    <mergeCell ref="K24:L24"/>
    <mergeCell ref="N24:O24"/>
    <mergeCell ref="P24:Q24"/>
    <mergeCell ref="T24:U24"/>
    <mergeCell ref="B29:C29"/>
    <mergeCell ref="F29:I29"/>
    <mergeCell ref="K29:L29"/>
    <mergeCell ref="N29:O29"/>
    <mergeCell ref="P29:Q29"/>
    <mergeCell ref="T29:U29"/>
    <mergeCell ref="K26:L26"/>
    <mergeCell ref="N26:O26"/>
    <mergeCell ref="P26:Q26"/>
    <mergeCell ref="T26:U26"/>
    <mergeCell ref="F27:I27"/>
    <mergeCell ref="K27:L27"/>
    <mergeCell ref="N27:O27"/>
    <mergeCell ref="P27:Q27"/>
    <mergeCell ref="T27:U27"/>
    <mergeCell ref="F31:I31"/>
    <mergeCell ref="K31:L31"/>
    <mergeCell ref="N31:O31"/>
    <mergeCell ref="P31:Q31"/>
    <mergeCell ref="T31:U31"/>
    <mergeCell ref="K28:L28"/>
    <mergeCell ref="N28:O28"/>
    <mergeCell ref="P28:Q28"/>
    <mergeCell ref="T28:U28"/>
    <mergeCell ref="K32:L32"/>
    <mergeCell ref="N32:O32"/>
    <mergeCell ref="P32:Q32"/>
    <mergeCell ref="T32:U32"/>
    <mergeCell ref="K33:L33"/>
    <mergeCell ref="N33:O33"/>
    <mergeCell ref="P33:Q33"/>
    <mergeCell ref="T33:U33"/>
    <mergeCell ref="K30:L30"/>
    <mergeCell ref="N30:O30"/>
    <mergeCell ref="P30:Q30"/>
    <mergeCell ref="T30:U30"/>
    <mergeCell ref="K34:L34"/>
    <mergeCell ref="N34:O34"/>
    <mergeCell ref="P34:Q34"/>
    <mergeCell ref="T34:U34"/>
    <mergeCell ref="F35:I35"/>
    <mergeCell ref="K35:L35"/>
    <mergeCell ref="N35:O35"/>
    <mergeCell ref="P35:Q35"/>
    <mergeCell ref="T35:U35"/>
    <mergeCell ref="F36:I36"/>
    <mergeCell ref="K36:L36"/>
    <mergeCell ref="N36:O36"/>
    <mergeCell ref="P36:Q36"/>
    <mergeCell ref="T36:U36"/>
    <mergeCell ref="F37:I37"/>
    <mergeCell ref="K37:L37"/>
    <mergeCell ref="N37:O37"/>
    <mergeCell ref="P37:Q37"/>
    <mergeCell ref="T37:U37"/>
    <mergeCell ref="K40:L40"/>
    <mergeCell ref="N40:O40"/>
    <mergeCell ref="P40:Q40"/>
    <mergeCell ref="T40:U40"/>
    <mergeCell ref="K41:L41"/>
    <mergeCell ref="N41:O41"/>
    <mergeCell ref="P41:Q41"/>
    <mergeCell ref="T41:U41"/>
    <mergeCell ref="F38:I38"/>
    <mergeCell ref="K38:L38"/>
    <mergeCell ref="N38:O38"/>
    <mergeCell ref="P38:Q38"/>
    <mergeCell ref="T38:U38"/>
    <mergeCell ref="F39:G39"/>
    <mergeCell ref="K39:L39"/>
    <mergeCell ref="N39:O39"/>
    <mergeCell ref="P39:Q39"/>
    <mergeCell ref="T39:U39"/>
    <mergeCell ref="K44:L44"/>
    <mergeCell ref="N44:O44"/>
    <mergeCell ref="P44:Q44"/>
    <mergeCell ref="T44:U44"/>
    <mergeCell ref="K45:L45"/>
    <mergeCell ref="N45:O45"/>
    <mergeCell ref="P45:Q45"/>
    <mergeCell ref="T45:U45"/>
    <mergeCell ref="K42:L42"/>
    <mergeCell ref="N42:O42"/>
    <mergeCell ref="P42:Q42"/>
    <mergeCell ref="T42:U42"/>
    <mergeCell ref="K43:L43"/>
    <mergeCell ref="N43:O43"/>
    <mergeCell ref="P43:Q43"/>
    <mergeCell ref="T43:U43"/>
    <mergeCell ref="T46:U46"/>
    <mergeCell ref="B47:C48"/>
    <mergeCell ref="D47:F48"/>
    <mergeCell ref="G47:I48"/>
    <mergeCell ref="K47:L47"/>
    <mergeCell ref="N47:O47"/>
    <mergeCell ref="P47:Q47"/>
    <mergeCell ref="T47:U47"/>
    <mergeCell ref="K48:L48"/>
    <mergeCell ref="N48:O48"/>
    <mergeCell ref="B46:C46"/>
    <mergeCell ref="D46:F46"/>
    <mergeCell ref="G46:I46"/>
    <mergeCell ref="K46:L46"/>
    <mergeCell ref="N46:O46"/>
    <mergeCell ref="P46:Q46"/>
    <mergeCell ref="P48:Q48"/>
    <mergeCell ref="T48:U48"/>
    <mergeCell ref="B49:C50"/>
    <mergeCell ref="D49:F50"/>
    <mergeCell ref="G49:I50"/>
    <mergeCell ref="K49:L49"/>
    <mergeCell ref="N49:O49"/>
    <mergeCell ref="P49:Q49"/>
    <mergeCell ref="T49:U49"/>
    <mergeCell ref="K50:L50"/>
    <mergeCell ref="N50:O50"/>
    <mergeCell ref="P50:Q50"/>
    <mergeCell ref="T50:U50"/>
    <mergeCell ref="B51:C52"/>
    <mergeCell ref="D51:F52"/>
    <mergeCell ref="G51:I52"/>
    <mergeCell ref="K51:L51"/>
    <mergeCell ref="N51:O51"/>
    <mergeCell ref="P51:Q51"/>
    <mergeCell ref="T51:U51"/>
    <mergeCell ref="K52:L52"/>
    <mergeCell ref="N52:O52"/>
    <mergeCell ref="P52:Q52"/>
    <mergeCell ref="T52:U52"/>
    <mergeCell ref="B53:C54"/>
    <mergeCell ref="D53:F54"/>
    <mergeCell ref="G53:I54"/>
    <mergeCell ref="K53:L53"/>
    <mergeCell ref="N53:O53"/>
    <mergeCell ref="P53:Q53"/>
    <mergeCell ref="T53:U53"/>
    <mergeCell ref="K54:L54"/>
    <mergeCell ref="N54:O54"/>
    <mergeCell ref="P54:Q54"/>
    <mergeCell ref="T54:U54"/>
    <mergeCell ref="B55:C56"/>
    <mergeCell ref="D55:F56"/>
    <mergeCell ref="G55:I56"/>
    <mergeCell ref="K55:L55"/>
    <mergeCell ref="N55:O55"/>
    <mergeCell ref="B57:C58"/>
    <mergeCell ref="D57:F58"/>
    <mergeCell ref="G57:I58"/>
    <mergeCell ref="K57:L57"/>
    <mergeCell ref="N57:O57"/>
    <mergeCell ref="P57:Q57"/>
    <mergeCell ref="P55:Q55"/>
    <mergeCell ref="T55:U55"/>
    <mergeCell ref="K56:L56"/>
    <mergeCell ref="N56:O56"/>
    <mergeCell ref="P56:Q56"/>
    <mergeCell ref="T56:U56"/>
    <mergeCell ref="T57:U57"/>
    <mergeCell ref="K58:L58"/>
    <mergeCell ref="N58:O58"/>
    <mergeCell ref="P58:Q58"/>
    <mergeCell ref="T58:U58"/>
    <mergeCell ref="K59:L59"/>
    <mergeCell ref="N59:O59"/>
    <mergeCell ref="P59:Q59"/>
    <mergeCell ref="T59:U59"/>
    <mergeCell ref="D60:F60"/>
    <mergeCell ref="K60:L60"/>
    <mergeCell ref="N60:O60"/>
    <mergeCell ref="P60:Q60"/>
    <mergeCell ref="T60:U60"/>
    <mergeCell ref="K61:L61"/>
    <mergeCell ref="N61:O61"/>
    <mergeCell ref="P61:Q61"/>
    <mergeCell ref="T61:U61"/>
    <mergeCell ref="B70:D70"/>
    <mergeCell ref="K70:M70"/>
    <mergeCell ref="O70:Q70"/>
    <mergeCell ref="K62:L62"/>
    <mergeCell ref="N62:O62"/>
    <mergeCell ref="T62:U62"/>
    <mergeCell ref="K63:L63"/>
    <mergeCell ref="N63:O63"/>
    <mergeCell ref="T63:U63"/>
    <mergeCell ref="L71:M71"/>
    <mergeCell ref="O71:Q71"/>
    <mergeCell ref="K257:M257"/>
    <mergeCell ref="P257:Q257"/>
    <mergeCell ref="L258:M258"/>
    <mergeCell ref="K64:L64"/>
    <mergeCell ref="N64:O64"/>
    <mergeCell ref="P64:Q64"/>
    <mergeCell ref="K65:L65"/>
    <mergeCell ref="N65:O65"/>
  </mergeCells>
  <pageMargins left="0.7" right="0.7" top="0.75" bottom="0.75" header="0.3" footer="0.3"/>
  <pageSetup scale="73" orientation="portrait" horizontalDpi="0" verticalDpi="0" r:id="rId1"/>
  <colBreaks count="1" manualBreakCount="1">
    <brk id="9" max="74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478D1-E802-4838-BB3B-118C003B390D}">
  <dimension ref="A1:R52"/>
  <sheetViews>
    <sheetView topLeftCell="A16" zoomScale="90" zoomScaleNormal="90" workbookViewId="0">
      <selection activeCell="G24" sqref="G24:H24"/>
    </sheetView>
  </sheetViews>
  <sheetFormatPr defaultColWidth="9.140625" defaultRowHeight="16.5" x14ac:dyDescent="0.3"/>
  <cols>
    <col min="1" max="1" width="0.7109375" style="91" customWidth="1"/>
    <col min="2" max="2" width="12" style="91" customWidth="1"/>
    <col min="3" max="3" width="18.42578125" style="91" customWidth="1"/>
    <col min="4" max="4" width="18.28515625" style="93" customWidth="1"/>
    <col min="5" max="5" width="16.85546875" style="91" customWidth="1"/>
    <col min="6" max="6" width="15.28515625" style="91" customWidth="1"/>
    <col min="7" max="7" width="8" style="91" customWidth="1"/>
    <col min="8" max="8" width="18" style="91" customWidth="1"/>
    <col min="9" max="9" width="0.42578125" style="91" customWidth="1"/>
    <col min="10" max="10" width="9.140625" style="91"/>
    <col min="11" max="11" width="19.28515625" style="91" customWidth="1"/>
    <col min="12" max="12" width="19.42578125" style="166" customWidth="1"/>
    <col min="13" max="13" width="5.140625" style="91" customWidth="1"/>
    <col min="14" max="14" width="14" style="91" customWidth="1"/>
    <col min="15" max="15" width="19.5703125" style="91" customWidth="1"/>
    <col min="16" max="16" width="19.7109375" style="91" customWidth="1"/>
    <col min="17" max="17" width="9.140625" style="91"/>
    <col min="18" max="18" width="10.7109375" style="91" bestFit="1" customWidth="1"/>
    <col min="19" max="16384" width="9.140625" style="91"/>
  </cols>
  <sheetData>
    <row r="1" spans="1:18" x14ac:dyDescent="0.3">
      <c r="R1" s="167" t="e">
        <f ca="1">EDATE(L17,'[3]STANDARD COMP.'!E29)</f>
        <v>#N/A</v>
      </c>
    </row>
    <row r="2" spans="1:18" x14ac:dyDescent="0.3">
      <c r="B2" s="168" t="s">
        <v>94</v>
      </c>
      <c r="C2" s="104">
        <f ca="1">'SPC Unit A'!C2</f>
        <v>45932.593793518521</v>
      </c>
      <c r="D2" s="169"/>
      <c r="F2" s="170" t="s">
        <v>95</v>
      </c>
      <c r="G2" s="430" t="s">
        <v>96</v>
      </c>
      <c r="H2" s="431"/>
      <c r="I2" s="171"/>
      <c r="J2" s="172" t="s">
        <v>94</v>
      </c>
      <c r="K2" s="99">
        <f ca="1">C2</f>
        <v>45932.593793518521</v>
      </c>
      <c r="L2" s="171"/>
      <c r="M2" s="171"/>
      <c r="O2" s="103" t="s">
        <v>97</v>
      </c>
      <c r="P2" s="173" t="s">
        <v>98</v>
      </c>
    </row>
    <row r="3" spans="1:18" s="107" customFormat="1" x14ac:dyDescent="0.3">
      <c r="C3" s="108"/>
      <c r="D3" s="108"/>
      <c r="G3" s="109"/>
      <c r="H3" s="109"/>
      <c r="I3" s="109"/>
      <c r="J3" s="174"/>
      <c r="K3" s="175"/>
      <c r="L3" s="176"/>
      <c r="M3" s="174"/>
      <c r="N3" s="174"/>
      <c r="O3" s="432"/>
      <c r="P3" s="432"/>
    </row>
    <row r="4" spans="1:18" s="107" customFormat="1" ht="18" customHeight="1" x14ac:dyDescent="0.3">
      <c r="B4" s="358" t="s">
        <v>189</v>
      </c>
      <c r="C4" s="358"/>
      <c r="D4" s="358"/>
      <c r="E4" s="358"/>
      <c r="F4" s="358"/>
      <c r="G4" s="358"/>
      <c r="H4" s="358"/>
      <c r="I4" s="170"/>
      <c r="J4" s="411" t="s">
        <v>100</v>
      </c>
      <c r="K4" s="411"/>
      <c r="L4" s="411"/>
      <c r="M4" s="411"/>
      <c r="N4" s="411"/>
      <c r="O4" s="411"/>
      <c r="P4" s="411"/>
    </row>
    <row r="5" spans="1:18" s="107" customFormat="1" x14ac:dyDescent="0.3">
      <c r="B5" s="109" t="s">
        <v>190</v>
      </c>
      <c r="C5" s="109"/>
      <c r="D5" s="110"/>
      <c r="E5" s="109"/>
      <c r="F5" s="109"/>
      <c r="G5" s="109"/>
      <c r="H5" s="109"/>
      <c r="I5" s="109"/>
      <c r="J5" s="115"/>
      <c r="K5" s="116"/>
      <c r="L5" s="177"/>
      <c r="M5" s="116"/>
      <c r="N5" s="116"/>
      <c r="O5" s="116"/>
      <c r="P5" s="117"/>
    </row>
    <row r="6" spans="1:18" s="107" customFormat="1" x14ac:dyDescent="0.3">
      <c r="B6" s="178" t="s">
        <v>101</v>
      </c>
      <c r="C6" s="179"/>
      <c r="D6" s="88" t="s">
        <v>102</v>
      </c>
      <c r="E6" s="378">
        <f>'SPC Unit A'!E6:I6</f>
        <v>0</v>
      </c>
      <c r="F6" s="378"/>
      <c r="G6" s="378"/>
      <c r="H6" s="378"/>
      <c r="I6" s="109"/>
      <c r="J6" s="180" t="s">
        <v>101</v>
      </c>
      <c r="K6" s="71"/>
      <c r="L6" s="181" t="s">
        <v>102</v>
      </c>
      <c r="M6" s="361">
        <f>E6</f>
        <v>0</v>
      </c>
      <c r="N6" s="362"/>
      <c r="O6" s="362"/>
      <c r="P6" s="363"/>
    </row>
    <row r="7" spans="1:18" s="107" customFormat="1" x14ac:dyDescent="0.3">
      <c r="B7" s="178" t="s">
        <v>103</v>
      </c>
      <c r="C7" s="179"/>
      <c r="D7" s="88" t="s">
        <v>102</v>
      </c>
      <c r="E7" s="378" t="str">
        <f>'SPC Unit A'!E7:I7</f>
        <v>Terraces Commonwealth Townhouse</v>
      </c>
      <c r="F7" s="378"/>
      <c r="G7" s="378"/>
      <c r="H7" s="378"/>
      <c r="I7" s="109"/>
      <c r="J7" s="126" t="s">
        <v>103</v>
      </c>
      <c r="K7" s="125"/>
      <c r="L7" s="181" t="s">
        <v>102</v>
      </c>
      <c r="M7" s="361" t="str">
        <f t="shared" ref="M7:M13" si="0">E7</f>
        <v>Terraces Commonwealth Townhouse</v>
      </c>
      <c r="N7" s="362"/>
      <c r="O7" s="362"/>
      <c r="P7" s="363"/>
    </row>
    <row r="8" spans="1:18" s="107" customFormat="1" x14ac:dyDescent="0.3">
      <c r="B8" s="182" t="s">
        <v>18</v>
      </c>
      <c r="C8" s="183"/>
      <c r="D8" s="88" t="s">
        <v>102</v>
      </c>
      <c r="E8" s="378" t="str">
        <f>'SPC Unit A'!E8:I8</f>
        <v>Unit A</v>
      </c>
      <c r="F8" s="378"/>
      <c r="G8" s="378"/>
      <c r="H8" s="378"/>
      <c r="I8" s="109"/>
      <c r="J8" s="126" t="s">
        <v>104</v>
      </c>
      <c r="K8" s="125"/>
      <c r="L8" s="181" t="s">
        <v>102</v>
      </c>
      <c r="M8" s="361" t="str">
        <f t="shared" si="0"/>
        <v>Unit A</v>
      </c>
      <c r="N8" s="362"/>
      <c r="O8" s="362"/>
      <c r="P8" s="363"/>
    </row>
    <row r="9" spans="1:18" hidden="1" x14ac:dyDescent="0.3">
      <c r="B9" s="182" t="s">
        <v>191</v>
      </c>
      <c r="C9" s="183"/>
      <c r="D9" s="88" t="s">
        <v>102</v>
      </c>
      <c r="E9" s="378"/>
      <c r="F9" s="378"/>
      <c r="G9" s="378"/>
      <c r="H9" s="378"/>
      <c r="I9" s="76"/>
      <c r="J9" s="126" t="s">
        <v>191</v>
      </c>
      <c r="K9" s="125"/>
      <c r="L9" s="181" t="s">
        <v>102</v>
      </c>
      <c r="M9" s="361">
        <f t="shared" si="0"/>
        <v>0</v>
      </c>
      <c r="N9" s="362"/>
      <c r="O9" s="362"/>
      <c r="P9" s="363"/>
    </row>
    <row r="10" spans="1:18" x14ac:dyDescent="0.3">
      <c r="A10" s="184"/>
      <c r="B10" s="182" t="s">
        <v>105</v>
      </c>
      <c r="C10" s="183"/>
      <c r="D10" s="88" t="s">
        <v>102</v>
      </c>
      <c r="E10" s="378" t="str">
        <f>'SPC Unit A'!E10:I10</f>
        <v>Front with own garage gate</v>
      </c>
      <c r="F10" s="378"/>
      <c r="G10" s="378"/>
      <c r="H10" s="378"/>
      <c r="I10" s="79"/>
      <c r="J10" s="126" t="s">
        <v>105</v>
      </c>
      <c r="K10" s="125"/>
      <c r="L10" s="181" t="s">
        <v>102</v>
      </c>
      <c r="M10" s="361" t="str">
        <f t="shared" si="0"/>
        <v>Front with own garage gate</v>
      </c>
      <c r="N10" s="362"/>
      <c r="O10" s="362"/>
      <c r="P10" s="363"/>
      <c r="Q10" s="185"/>
    </row>
    <row r="11" spans="1:18" x14ac:dyDescent="0.3">
      <c r="B11" s="433" t="s">
        <v>106</v>
      </c>
      <c r="C11" s="434"/>
      <c r="D11" s="88" t="s">
        <v>102</v>
      </c>
      <c r="E11" s="435">
        <f>'SPC Unit A'!E11:F11</f>
        <v>66</v>
      </c>
      <c r="F11" s="436"/>
      <c r="G11" s="186" t="s">
        <v>107</v>
      </c>
      <c r="H11" s="187"/>
      <c r="I11" s="76"/>
      <c r="J11" s="126" t="s">
        <v>108</v>
      </c>
      <c r="K11" s="125"/>
      <c r="L11" s="188" t="s">
        <v>102</v>
      </c>
      <c r="M11" s="369">
        <f t="shared" si="0"/>
        <v>66</v>
      </c>
      <c r="N11" s="369"/>
      <c r="O11" s="189" t="s">
        <v>107</v>
      </c>
      <c r="P11" s="190"/>
    </row>
    <row r="12" spans="1:18" x14ac:dyDescent="0.3">
      <c r="B12" s="433" t="s">
        <v>92</v>
      </c>
      <c r="C12" s="434"/>
      <c r="D12" s="88" t="s">
        <v>102</v>
      </c>
      <c r="E12" s="435">
        <f>'SPC Unit A'!E12:F12</f>
        <v>156.74</v>
      </c>
      <c r="F12" s="436"/>
      <c r="G12" s="186" t="s">
        <v>107</v>
      </c>
      <c r="H12" s="191"/>
      <c r="I12" s="76"/>
      <c r="J12" s="72" t="s">
        <v>109</v>
      </c>
      <c r="K12" s="125"/>
      <c r="L12" s="181" t="s">
        <v>102</v>
      </c>
      <c r="M12" s="372">
        <f t="shared" si="0"/>
        <v>156.74</v>
      </c>
      <c r="N12" s="437"/>
      <c r="O12" s="192" t="s">
        <v>107</v>
      </c>
      <c r="P12" s="153"/>
    </row>
    <row r="13" spans="1:18" ht="13.35" hidden="1" customHeight="1" x14ac:dyDescent="0.3">
      <c r="B13" s="193"/>
      <c r="C13" s="194"/>
      <c r="D13" s="88" t="s">
        <v>102</v>
      </c>
      <c r="E13" s="435">
        <f>'SPC Unit A'!E13:F13</f>
        <v>0</v>
      </c>
      <c r="F13" s="436"/>
      <c r="G13" s="186" t="s">
        <v>107</v>
      </c>
      <c r="H13" s="191"/>
      <c r="I13" s="76"/>
      <c r="J13" s="137" t="s">
        <v>7</v>
      </c>
      <c r="K13" s="82"/>
      <c r="L13" s="181" t="s">
        <v>102</v>
      </c>
      <c r="M13" s="372">
        <f t="shared" si="0"/>
        <v>0</v>
      </c>
      <c r="N13" s="437"/>
      <c r="O13" s="192" t="s">
        <v>107</v>
      </c>
      <c r="P13" s="153"/>
    </row>
    <row r="14" spans="1:18" x14ac:dyDescent="0.3">
      <c r="B14" s="76"/>
      <c r="C14" s="76"/>
      <c r="D14" s="88"/>
      <c r="E14" s="76"/>
      <c r="F14" s="76"/>
      <c r="G14" s="76"/>
      <c r="H14" s="76"/>
      <c r="I14" s="76"/>
      <c r="J14" s="76"/>
      <c r="K14" s="76"/>
      <c r="L14" s="195"/>
      <c r="M14" s="76"/>
      <c r="N14" s="76"/>
      <c r="O14" s="76"/>
      <c r="P14" s="76"/>
    </row>
    <row r="15" spans="1:18" ht="15" customHeight="1" x14ac:dyDescent="0.3">
      <c r="B15" s="143" t="s">
        <v>110</v>
      </c>
      <c r="C15" s="71"/>
      <c r="D15" s="88" t="s">
        <v>102</v>
      </c>
      <c r="E15" s="196"/>
      <c r="F15" s="457">
        <f>'SPC Unit A'!F15:I15</f>
        <v>9561140</v>
      </c>
      <c r="G15" s="454"/>
      <c r="H15" s="455"/>
      <c r="I15" s="79"/>
      <c r="J15" s="387" t="s">
        <v>111</v>
      </c>
      <c r="K15" s="387"/>
      <c r="L15" s="438" t="s">
        <v>112</v>
      </c>
      <c r="M15" s="387" t="s">
        <v>113</v>
      </c>
      <c r="N15" s="387"/>
      <c r="O15" s="389" t="s">
        <v>114</v>
      </c>
      <c r="P15" s="390"/>
    </row>
    <row r="16" spans="1:18" s="102" customFormat="1" x14ac:dyDescent="0.2">
      <c r="B16" s="126" t="s">
        <v>115</v>
      </c>
      <c r="C16" s="72"/>
      <c r="D16" s="88" t="s">
        <v>102</v>
      </c>
      <c r="E16" s="197"/>
      <c r="F16" s="457"/>
      <c r="G16" s="454"/>
      <c r="H16" s="455"/>
      <c r="I16" s="76"/>
      <c r="J16" s="387"/>
      <c r="K16" s="387"/>
      <c r="L16" s="438"/>
      <c r="M16" s="387"/>
      <c r="N16" s="387"/>
      <c r="O16" s="391"/>
      <c r="P16" s="392"/>
    </row>
    <row r="17" spans="1:16" x14ac:dyDescent="0.3">
      <c r="B17" s="148" t="s">
        <v>70</v>
      </c>
      <c r="C17" s="73"/>
      <c r="D17" s="88" t="s">
        <v>102</v>
      </c>
      <c r="E17" s="196"/>
      <c r="F17" s="457">
        <f>F15-F16</f>
        <v>9561140</v>
      </c>
      <c r="G17" s="454"/>
      <c r="H17" s="455"/>
      <c r="I17" s="79"/>
      <c r="J17" s="378" t="s">
        <v>33</v>
      </c>
      <c r="K17" s="378"/>
      <c r="L17" s="147">
        <f ca="1">C2</f>
        <v>45932.593793518521</v>
      </c>
      <c r="M17" s="379">
        <f>[3]FORM!I22</f>
        <v>20000</v>
      </c>
      <c r="N17" s="379"/>
      <c r="O17" s="380"/>
      <c r="P17" s="381"/>
    </row>
    <row r="18" spans="1:16" s="102" customFormat="1" x14ac:dyDescent="0.2">
      <c r="B18" s="150"/>
      <c r="C18" s="76"/>
      <c r="D18" s="88"/>
      <c r="E18" s="76"/>
      <c r="F18" s="151"/>
      <c r="G18" s="151"/>
      <c r="H18" s="151"/>
      <c r="I18" s="76"/>
      <c r="J18" s="378" t="s">
        <v>192</v>
      </c>
      <c r="K18" s="378"/>
      <c r="L18" s="147">
        <f ca="1">L17+7</f>
        <v>45939.593793518521</v>
      </c>
      <c r="M18" s="379">
        <f>F29</f>
        <v>1862228.0000000002</v>
      </c>
      <c r="N18" s="379"/>
      <c r="O18" s="380"/>
      <c r="P18" s="381"/>
    </row>
    <row r="19" spans="1:16" hidden="1" x14ac:dyDescent="0.3">
      <c r="A19" s="184"/>
      <c r="B19" s="120" t="s">
        <v>118</v>
      </c>
      <c r="C19" s="120"/>
      <c r="D19" s="88" t="s">
        <v>102</v>
      </c>
      <c r="E19" s="198">
        <v>0</v>
      </c>
      <c r="F19" s="439">
        <f>E19*F17</f>
        <v>0</v>
      </c>
      <c r="G19" s="439"/>
      <c r="H19" s="439"/>
      <c r="I19" s="76"/>
      <c r="J19" s="424" t="s">
        <v>184</v>
      </c>
      <c r="K19" s="424"/>
      <c r="L19" s="199">
        <f ca="1">'SPC Unit A'!M64</f>
        <v>46331</v>
      </c>
      <c r="M19" s="440">
        <f>F31</f>
        <v>8413803.2000000011</v>
      </c>
      <c r="N19" s="440"/>
      <c r="O19" s="441"/>
      <c r="P19" s="442"/>
    </row>
    <row r="20" spans="1:16" x14ac:dyDescent="0.3">
      <c r="B20" s="180" t="s">
        <v>121</v>
      </c>
      <c r="C20" s="200"/>
      <c r="D20" s="88" t="s">
        <v>102</v>
      </c>
      <c r="E20" s="198">
        <v>0.1</v>
      </c>
      <c r="F20" s="460">
        <f>E20*F15</f>
        <v>956114</v>
      </c>
      <c r="G20" s="460"/>
      <c r="H20" s="460"/>
      <c r="I20" s="76"/>
      <c r="J20" s="419"/>
      <c r="K20" s="419"/>
      <c r="L20" s="201"/>
      <c r="M20" s="443"/>
      <c r="N20" s="443"/>
      <c r="O20" s="76"/>
      <c r="P20" s="76"/>
    </row>
    <row r="21" spans="1:16" x14ac:dyDescent="0.3">
      <c r="B21" s="150"/>
      <c r="C21" s="76"/>
      <c r="D21" s="88"/>
      <c r="E21" s="76"/>
      <c r="F21" s="151"/>
      <c r="G21" s="151"/>
      <c r="H21" s="151"/>
      <c r="I21" s="76"/>
      <c r="J21" s="88"/>
      <c r="K21" s="88"/>
      <c r="L21" s="201"/>
      <c r="M21" s="202"/>
      <c r="N21" s="202"/>
      <c r="O21" s="76"/>
      <c r="P21" s="76"/>
    </row>
    <row r="22" spans="1:16" x14ac:dyDescent="0.3">
      <c r="B22" s="406" t="s">
        <v>32</v>
      </c>
      <c r="C22" s="406"/>
      <c r="D22" s="88" t="s">
        <v>102</v>
      </c>
      <c r="E22" s="444">
        <f>F17+F19+F20</f>
        <v>10517254</v>
      </c>
      <c r="F22" s="444"/>
      <c r="G22" s="444"/>
      <c r="H22" s="444"/>
      <c r="I22" s="76"/>
      <c r="J22" s="88"/>
      <c r="K22" s="88"/>
      <c r="L22" s="201"/>
      <c r="M22" s="202"/>
      <c r="N22" s="202"/>
      <c r="O22" s="76"/>
      <c r="P22" s="76"/>
    </row>
    <row r="23" spans="1:16" x14ac:dyDescent="0.3">
      <c r="A23" s="102"/>
      <c r="B23" s="150"/>
      <c r="C23" s="76"/>
      <c r="D23" s="88"/>
      <c r="E23" s="76"/>
      <c r="F23" s="151"/>
      <c r="G23" s="151"/>
      <c r="H23" s="151"/>
      <c r="I23" s="79"/>
      <c r="J23" s="157"/>
      <c r="K23" s="76"/>
      <c r="L23" s="195"/>
      <c r="M23" s="76"/>
      <c r="N23" s="76"/>
      <c r="O23" s="76"/>
      <c r="P23" s="76"/>
    </row>
    <row r="24" spans="1:16" s="102" customFormat="1" x14ac:dyDescent="0.3">
      <c r="A24" s="91"/>
      <c r="B24" s="203"/>
      <c r="C24" s="204"/>
      <c r="D24" s="88" t="s">
        <v>102</v>
      </c>
      <c r="E24" s="205"/>
      <c r="F24" s="151"/>
      <c r="G24" s="443"/>
      <c r="H24" s="443"/>
      <c r="I24" s="76"/>
      <c r="J24" s="76"/>
      <c r="K24" s="206"/>
      <c r="L24" s="195"/>
      <c r="M24" s="76"/>
      <c r="N24" s="76"/>
      <c r="O24" s="76"/>
      <c r="P24" s="76"/>
    </row>
    <row r="25" spans="1:16" x14ac:dyDescent="0.3">
      <c r="B25" s="447" t="s">
        <v>193</v>
      </c>
      <c r="C25" s="447"/>
      <c r="D25" s="88" t="s">
        <v>102</v>
      </c>
      <c r="E25" s="207">
        <f>'[3]STANDARD COMP.'!E24</f>
        <v>0.2</v>
      </c>
      <c r="F25" s="448">
        <f>E25*E22</f>
        <v>2103450.8000000003</v>
      </c>
      <c r="G25" s="449"/>
      <c r="H25" s="450"/>
      <c r="I25" s="76"/>
      <c r="J25" s="79" t="s">
        <v>185</v>
      </c>
      <c r="K25" s="79"/>
      <c r="L25" s="208"/>
      <c r="M25" s="79"/>
      <c r="N25" s="102"/>
      <c r="O25" s="79" t="s">
        <v>186</v>
      </c>
      <c r="P25" s="76"/>
    </row>
    <row r="26" spans="1:16" x14ac:dyDescent="0.3">
      <c r="A26" s="102"/>
      <c r="B26" s="403" t="s">
        <v>129</v>
      </c>
      <c r="C26" s="403"/>
      <c r="D26" s="88" t="str">
        <f>D25</f>
        <v>:</v>
      </c>
      <c r="E26" s="209"/>
      <c r="F26" s="451"/>
      <c r="G26" s="452"/>
      <c r="H26" s="453"/>
      <c r="I26" s="79"/>
      <c r="J26" s="76"/>
      <c r="K26" s="76"/>
      <c r="L26" s="181"/>
      <c r="M26" s="76"/>
      <c r="N26" s="76"/>
      <c r="O26" s="76"/>
      <c r="P26" s="76"/>
    </row>
    <row r="27" spans="1:16" s="102" customFormat="1" x14ac:dyDescent="0.2">
      <c r="B27" s="403" t="s">
        <v>194</v>
      </c>
      <c r="C27" s="403"/>
      <c r="D27" s="88" t="str">
        <f>D26</f>
        <v>:</v>
      </c>
      <c r="E27" s="209">
        <v>0.1</v>
      </c>
      <c r="F27" s="454">
        <f>(F17)*E25*E27</f>
        <v>191222.80000000002</v>
      </c>
      <c r="G27" s="454"/>
      <c r="H27" s="455"/>
      <c r="I27" s="79"/>
      <c r="J27" s="79"/>
      <c r="K27" s="79"/>
      <c r="L27" s="210"/>
      <c r="M27" s="79"/>
      <c r="N27" s="79"/>
      <c r="O27" s="79"/>
      <c r="P27" s="79"/>
    </row>
    <row r="28" spans="1:16" s="102" customFormat="1" x14ac:dyDescent="0.2">
      <c r="B28" s="403" t="s">
        <v>131</v>
      </c>
      <c r="C28" s="403"/>
      <c r="D28" s="88" t="s">
        <v>102</v>
      </c>
      <c r="E28" s="211"/>
      <c r="F28" s="459">
        <f>SUM('SPC Unit A'!F26)</f>
        <v>50000</v>
      </c>
      <c r="G28" s="454"/>
      <c r="H28" s="455"/>
      <c r="I28" s="79"/>
      <c r="J28" s="420" t="str">
        <f>B51</f>
        <v>enm</v>
      </c>
      <c r="K28" s="420"/>
      <c r="L28" s="420"/>
      <c r="M28" s="79"/>
      <c r="N28" s="79"/>
      <c r="O28" s="420"/>
      <c r="P28" s="420"/>
    </row>
    <row r="29" spans="1:16" s="102" customFormat="1" x14ac:dyDescent="0.3">
      <c r="A29" s="91"/>
      <c r="B29" s="406" t="s">
        <v>195</v>
      </c>
      <c r="C29" s="406"/>
      <c r="D29" s="88" t="s">
        <v>102</v>
      </c>
      <c r="E29" s="212"/>
      <c r="F29" s="445">
        <f>F25-F26-F27-F28</f>
        <v>1862228.0000000002</v>
      </c>
      <c r="G29" s="445"/>
      <c r="H29" s="446"/>
      <c r="I29" s="76"/>
      <c r="J29" s="90" t="s">
        <v>187</v>
      </c>
      <c r="K29" s="90"/>
      <c r="L29" s="213"/>
      <c r="M29" s="76"/>
      <c r="N29" s="76"/>
      <c r="O29" s="90" t="s">
        <v>188</v>
      </c>
      <c r="P29" s="89"/>
    </row>
    <row r="30" spans="1:16" x14ac:dyDescent="0.3">
      <c r="A30" s="102"/>
      <c r="B30" s="150"/>
      <c r="C30" s="76"/>
      <c r="D30" s="88"/>
      <c r="E30" s="76"/>
      <c r="F30" s="214"/>
      <c r="G30" s="214"/>
      <c r="H30" s="214"/>
      <c r="I30" s="79"/>
      <c r="J30" s="76"/>
      <c r="K30" s="76"/>
      <c r="L30" s="215"/>
      <c r="M30" s="76"/>
      <c r="N30" s="76"/>
      <c r="O30" s="76"/>
      <c r="P30" s="76"/>
    </row>
    <row r="31" spans="1:16" s="102" customFormat="1" x14ac:dyDescent="0.3">
      <c r="A31" s="91"/>
      <c r="B31" s="148" t="s">
        <v>139</v>
      </c>
      <c r="C31" s="73"/>
      <c r="D31" s="88" t="s">
        <v>102</v>
      </c>
      <c r="E31" s="216">
        <f>100%-E25</f>
        <v>0.8</v>
      </c>
      <c r="F31" s="458">
        <f>E22*E31</f>
        <v>8413803.2000000011</v>
      </c>
      <c r="G31" s="445"/>
      <c r="H31" s="446"/>
      <c r="I31" s="76"/>
      <c r="J31" s="76"/>
      <c r="K31" s="76"/>
      <c r="L31" s="215"/>
      <c r="M31" s="76"/>
      <c r="N31" s="76"/>
      <c r="O31" s="76"/>
      <c r="P31" s="76"/>
    </row>
    <row r="32" spans="1:16" x14ac:dyDescent="0.3">
      <c r="B32" s="150"/>
      <c r="C32" s="76"/>
      <c r="D32" s="88"/>
      <c r="E32" s="76"/>
      <c r="F32" s="76"/>
      <c r="G32" s="76"/>
      <c r="H32" s="76"/>
      <c r="I32" s="76"/>
      <c r="J32" s="76"/>
      <c r="K32" s="76"/>
      <c r="L32" s="195"/>
      <c r="M32" s="76"/>
      <c r="N32" s="76"/>
      <c r="O32" s="76"/>
      <c r="P32" s="76"/>
    </row>
    <row r="33" spans="2:9" x14ac:dyDescent="0.3">
      <c r="B33" s="109"/>
      <c r="C33" s="76"/>
      <c r="D33" s="88"/>
      <c r="E33" s="76"/>
      <c r="F33" s="76"/>
      <c r="G33" s="76"/>
      <c r="H33" s="76"/>
      <c r="I33" s="76"/>
    </row>
    <row r="34" spans="2:9" x14ac:dyDescent="0.3">
      <c r="B34" s="73" t="s">
        <v>142</v>
      </c>
      <c r="C34" s="73"/>
      <c r="D34" s="82"/>
      <c r="E34" s="82"/>
      <c r="F34" s="82"/>
      <c r="G34" s="82"/>
      <c r="H34" s="82"/>
      <c r="I34" s="76"/>
    </row>
    <row r="35" spans="2:9" x14ac:dyDescent="0.3">
      <c r="B35" s="109"/>
      <c r="C35" s="76"/>
      <c r="D35" s="88"/>
      <c r="E35" s="76"/>
      <c r="F35" s="76"/>
      <c r="G35" s="76"/>
      <c r="H35" s="76"/>
      <c r="I35" s="76"/>
    </row>
    <row r="36" spans="2:9" x14ac:dyDescent="0.3">
      <c r="B36" s="217" t="s">
        <v>145</v>
      </c>
      <c r="C36" s="217" t="s">
        <v>146</v>
      </c>
      <c r="D36" s="217" t="s">
        <v>147</v>
      </c>
      <c r="E36" s="217" t="s">
        <v>148</v>
      </c>
      <c r="F36" s="387" t="s">
        <v>149</v>
      </c>
      <c r="G36" s="387"/>
      <c r="H36" s="387"/>
      <c r="I36" s="76"/>
    </row>
    <row r="37" spans="2:9" x14ac:dyDescent="0.3">
      <c r="B37" s="218">
        <v>5</v>
      </c>
      <c r="C37" s="219">
        <v>0.08</v>
      </c>
      <c r="D37" s="220">
        <f>PMT(C37/12,B37*12,-1)</f>
        <v>2.0276394288413678E-2</v>
      </c>
      <c r="E37" s="221">
        <f>F31*D37</f>
        <v>170601.59114831674</v>
      </c>
      <c r="F37" s="379">
        <f>E37/0.3</f>
        <v>568671.97049438918</v>
      </c>
      <c r="G37" s="379"/>
      <c r="H37" s="379"/>
      <c r="I37" s="76"/>
    </row>
    <row r="38" spans="2:9" x14ac:dyDescent="0.3">
      <c r="B38" s="218">
        <v>10</v>
      </c>
      <c r="C38" s="222">
        <v>0.08</v>
      </c>
      <c r="D38" s="220">
        <f>PMT(C38/12,B38*12,-1)</f>
        <v>1.2132759435535692E-2</v>
      </c>
      <c r="E38" s="221">
        <f>F31*D38</f>
        <v>102082.65016354041</v>
      </c>
      <c r="F38" s="379">
        <f>E38/0.3</f>
        <v>340275.50054513471</v>
      </c>
      <c r="G38" s="379"/>
      <c r="H38" s="379"/>
      <c r="I38" s="76"/>
    </row>
    <row r="39" spans="2:9" x14ac:dyDescent="0.3">
      <c r="B39" s="218">
        <v>15</v>
      </c>
      <c r="C39" s="222">
        <v>0.08</v>
      </c>
      <c r="D39" s="220">
        <f>PMT(C39/12,B39*12,-1)</f>
        <v>9.5565208433035145E-3</v>
      </c>
      <c r="E39" s="221">
        <f>F31*D39</f>
        <v>80406.685652253815</v>
      </c>
      <c r="F39" s="379">
        <f>E39/0.3</f>
        <v>268022.28550751274</v>
      </c>
      <c r="G39" s="379"/>
      <c r="H39" s="379"/>
      <c r="I39" s="76"/>
    </row>
    <row r="40" spans="2:9" x14ac:dyDescent="0.3">
      <c r="B40" s="223" t="s">
        <v>154</v>
      </c>
      <c r="D40" s="91"/>
      <c r="F40" s="76"/>
      <c r="G40" s="76"/>
      <c r="H40" s="76"/>
      <c r="I40" s="76"/>
    </row>
    <row r="41" spans="2:9" x14ac:dyDescent="0.3">
      <c r="B41" s="223" t="s">
        <v>156</v>
      </c>
      <c r="D41" s="88"/>
      <c r="E41" s="76"/>
      <c r="F41" s="76"/>
      <c r="G41" s="76"/>
      <c r="H41" s="76"/>
      <c r="I41" s="76"/>
    </row>
    <row r="42" spans="2:9" x14ac:dyDescent="0.3">
      <c r="B42" s="224" t="s">
        <v>158</v>
      </c>
      <c r="C42" s="225"/>
      <c r="D42" s="88"/>
      <c r="E42" s="76"/>
      <c r="F42" s="76"/>
      <c r="G42" s="76"/>
      <c r="H42" s="76"/>
      <c r="I42" s="76"/>
    </row>
    <row r="43" spans="2:9" x14ac:dyDescent="0.3">
      <c r="B43" s="224" t="s">
        <v>160</v>
      </c>
      <c r="C43" s="76"/>
      <c r="D43" s="88"/>
      <c r="E43" s="76"/>
      <c r="F43" s="76"/>
      <c r="G43" s="76"/>
      <c r="H43" s="76"/>
      <c r="I43" s="76"/>
    </row>
    <row r="44" spans="2:9" x14ac:dyDescent="0.3">
      <c r="C44" s="225"/>
      <c r="D44" s="88"/>
      <c r="E44" s="76"/>
      <c r="F44" s="76"/>
      <c r="G44" s="76"/>
      <c r="H44" s="76"/>
      <c r="I44" s="76"/>
    </row>
    <row r="45" spans="2:9" x14ac:dyDescent="0.3">
      <c r="C45" s="76"/>
      <c r="D45" s="91"/>
      <c r="I45" s="76"/>
    </row>
    <row r="46" spans="2:9" x14ac:dyDescent="0.3">
      <c r="B46" s="88"/>
      <c r="C46" s="88"/>
      <c r="D46" s="226"/>
      <c r="E46" s="226"/>
      <c r="F46" s="226"/>
      <c r="G46" s="88"/>
      <c r="H46" s="88"/>
    </row>
    <row r="48" spans="2:9" x14ac:dyDescent="0.3">
      <c r="B48" s="79" t="s">
        <v>185</v>
      </c>
      <c r="C48" s="79"/>
      <c r="D48" s="208"/>
      <c r="E48" s="79"/>
      <c r="F48" s="79" t="s">
        <v>186</v>
      </c>
      <c r="G48" s="76"/>
    </row>
    <row r="49" spans="2:8" x14ac:dyDescent="0.3">
      <c r="B49" s="76"/>
      <c r="C49" s="76"/>
      <c r="D49" s="181"/>
      <c r="E49" s="76"/>
      <c r="F49" s="76"/>
      <c r="G49" s="76"/>
    </row>
    <row r="50" spans="2:8" x14ac:dyDescent="0.3">
      <c r="B50" s="79"/>
      <c r="C50" s="79"/>
      <c r="D50" s="210"/>
      <c r="E50" s="79"/>
      <c r="F50" s="79"/>
      <c r="G50" s="79"/>
    </row>
    <row r="51" spans="2:8" x14ac:dyDescent="0.3">
      <c r="B51" s="420" t="str">
        <f>[3]FORM!I30</f>
        <v>enm</v>
      </c>
      <c r="C51" s="420"/>
      <c r="D51" s="420"/>
      <c r="E51" s="79"/>
      <c r="F51" s="456">
        <f>[3]FORM!I28</f>
        <v>0</v>
      </c>
      <c r="G51" s="456"/>
      <c r="H51" s="456"/>
    </row>
    <row r="52" spans="2:8" x14ac:dyDescent="0.3">
      <c r="B52" s="90" t="s">
        <v>187</v>
      </c>
      <c r="C52" s="90"/>
      <c r="D52" s="213"/>
      <c r="E52" s="76"/>
      <c r="F52" s="89" t="s">
        <v>188</v>
      </c>
      <c r="G52" s="89"/>
      <c r="H52" s="132"/>
    </row>
  </sheetData>
  <mergeCells count="64">
    <mergeCell ref="B51:D51"/>
    <mergeCell ref="F51:H51"/>
    <mergeCell ref="F15:H15"/>
    <mergeCell ref="F16:H16"/>
    <mergeCell ref="F17:H17"/>
    <mergeCell ref="F31:H31"/>
    <mergeCell ref="F36:H36"/>
    <mergeCell ref="F37:H37"/>
    <mergeCell ref="F38:H38"/>
    <mergeCell ref="F39:H39"/>
    <mergeCell ref="B28:C28"/>
    <mergeCell ref="F28:H28"/>
    <mergeCell ref="F20:H20"/>
    <mergeCell ref="J28:L28"/>
    <mergeCell ref="O28:P28"/>
    <mergeCell ref="B29:C29"/>
    <mergeCell ref="F29:H29"/>
    <mergeCell ref="B25:C25"/>
    <mergeCell ref="F25:H25"/>
    <mergeCell ref="B26:C26"/>
    <mergeCell ref="F26:H26"/>
    <mergeCell ref="B27:C27"/>
    <mergeCell ref="F27:H27"/>
    <mergeCell ref="J20:K20"/>
    <mergeCell ref="M20:N20"/>
    <mergeCell ref="B22:C22"/>
    <mergeCell ref="E22:H22"/>
    <mergeCell ref="G24:H24"/>
    <mergeCell ref="J18:K18"/>
    <mergeCell ref="M18:N18"/>
    <mergeCell ref="O18:P18"/>
    <mergeCell ref="F19:H19"/>
    <mergeCell ref="J19:K19"/>
    <mergeCell ref="M19:N19"/>
    <mergeCell ref="O19:P19"/>
    <mergeCell ref="O15:P16"/>
    <mergeCell ref="J17:K17"/>
    <mergeCell ref="M17:N17"/>
    <mergeCell ref="O17:P17"/>
    <mergeCell ref="E13:F13"/>
    <mergeCell ref="M13:N13"/>
    <mergeCell ref="J15:K16"/>
    <mergeCell ref="L15:L16"/>
    <mergeCell ref="M15:N16"/>
    <mergeCell ref="B11:C11"/>
    <mergeCell ref="B12:C12"/>
    <mergeCell ref="E7:H7"/>
    <mergeCell ref="M7:P7"/>
    <mergeCell ref="E8:H8"/>
    <mergeCell ref="M8:P8"/>
    <mergeCell ref="E9:H9"/>
    <mergeCell ref="M9:P9"/>
    <mergeCell ref="E10:H10"/>
    <mergeCell ref="M10:P10"/>
    <mergeCell ref="E11:F11"/>
    <mergeCell ref="M11:N11"/>
    <mergeCell ref="E12:F12"/>
    <mergeCell ref="M12:N12"/>
    <mergeCell ref="G2:H2"/>
    <mergeCell ref="O3:P3"/>
    <mergeCell ref="B4:H4"/>
    <mergeCell ref="J4:P4"/>
    <mergeCell ref="E6:H6"/>
    <mergeCell ref="M6:P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EEA79-14D7-4807-AD68-673ECAE2DAC5}">
  <dimension ref="A1:BB47"/>
  <sheetViews>
    <sheetView zoomScale="90" zoomScaleNormal="90" workbookViewId="0">
      <selection activeCell="D25" sqref="D25"/>
    </sheetView>
  </sheetViews>
  <sheetFormatPr defaultColWidth="9.140625" defaultRowHeight="15" x14ac:dyDescent="0.25"/>
  <cols>
    <col min="1" max="1" width="1" style="96" customWidth="1"/>
    <col min="2" max="2" width="13.140625" style="96" customWidth="1"/>
    <col min="3" max="3" width="18.28515625" style="96" customWidth="1"/>
    <col min="4" max="4" width="16.42578125" style="97" customWidth="1"/>
    <col min="5" max="5" width="14" style="96" customWidth="1"/>
    <col min="6" max="6" width="9.42578125" style="96" customWidth="1"/>
    <col min="7" max="7" width="13" style="96" customWidth="1"/>
    <col min="8" max="8" width="4.28515625" style="96" customWidth="1"/>
    <col min="9" max="9" width="22" style="96" customWidth="1"/>
    <col min="10" max="10" width="0.85546875" style="96" customWidth="1"/>
    <col min="11" max="11" width="1" style="96" customWidth="1"/>
    <col min="12" max="12" width="9.140625" style="96"/>
    <col min="13" max="13" width="21.5703125" style="96" customWidth="1"/>
    <col min="14" max="14" width="17.7109375" style="75" customWidth="1"/>
    <col min="15" max="15" width="5.85546875" style="96" customWidth="1"/>
    <col min="16" max="16" width="17.5703125" style="96" customWidth="1"/>
    <col min="17" max="17" width="11.28515625" style="96" customWidth="1"/>
    <col min="18" max="18" width="9" style="96" customWidth="1"/>
    <col min="19" max="19" width="18.28515625" style="96" customWidth="1"/>
    <col min="20" max="16384" width="9.140625" style="96"/>
  </cols>
  <sheetData>
    <row r="1" spans="1:54" ht="7.5" customHeight="1" x14ac:dyDescent="0.25"/>
    <row r="2" spans="1:54" ht="16.5" x14ac:dyDescent="0.3">
      <c r="B2" s="98" t="s">
        <v>94</v>
      </c>
      <c r="C2" s="99">
        <f ca="1">'Spot Equity 7 Days'!C2</f>
        <v>45932.593793518521</v>
      </c>
      <c r="D2" s="100"/>
      <c r="F2" s="100"/>
      <c r="G2" s="101" t="s">
        <v>196</v>
      </c>
      <c r="H2" s="461" t="s">
        <v>96</v>
      </c>
      <c r="I2" s="461"/>
      <c r="J2" s="100"/>
      <c r="K2" s="102"/>
      <c r="L2" s="103" t="s">
        <v>197</v>
      </c>
      <c r="M2" s="104">
        <f ca="1">C2</f>
        <v>45932.593793518521</v>
      </c>
      <c r="N2" s="105"/>
      <c r="O2" s="105"/>
      <c r="Q2" s="103" t="str">
        <f>G2</f>
        <v xml:space="preserve">PAGE: </v>
      </c>
      <c r="R2" s="462" t="s">
        <v>98</v>
      </c>
      <c r="S2" s="463"/>
    </row>
    <row r="3" spans="1:54" s="106" customFormat="1" ht="16.5" x14ac:dyDescent="0.3">
      <c r="B3" s="107"/>
      <c r="C3" s="108"/>
      <c r="D3" s="108"/>
      <c r="E3" s="107"/>
      <c r="F3" s="107"/>
      <c r="G3" s="109"/>
      <c r="H3" s="109"/>
      <c r="I3" s="109"/>
      <c r="J3" s="110"/>
      <c r="K3" s="109"/>
      <c r="L3" s="107"/>
      <c r="M3" s="108"/>
      <c r="N3" s="108"/>
      <c r="O3" s="107"/>
      <c r="P3" s="107"/>
      <c r="Q3" s="107"/>
      <c r="R3" s="464"/>
      <c r="S3" s="464"/>
    </row>
    <row r="4" spans="1:54" s="114" customFormat="1" ht="12.75" customHeight="1" x14ac:dyDescent="0.25">
      <c r="A4" s="111"/>
      <c r="B4" s="360" t="s">
        <v>198</v>
      </c>
      <c r="C4" s="360"/>
      <c r="D4" s="360"/>
      <c r="E4" s="360"/>
      <c r="F4" s="360"/>
      <c r="G4" s="360"/>
      <c r="H4" s="360"/>
      <c r="I4" s="360"/>
      <c r="J4" s="112"/>
      <c r="K4" s="113"/>
      <c r="L4" s="360" t="s">
        <v>100</v>
      </c>
      <c r="M4" s="360"/>
      <c r="N4" s="360"/>
      <c r="O4" s="360"/>
      <c r="P4" s="360"/>
      <c r="Q4" s="360"/>
      <c r="R4" s="360"/>
      <c r="S4" s="360"/>
    </row>
    <row r="5" spans="1:54" s="114" customFormat="1" ht="12.75" customHeight="1" x14ac:dyDescent="0.25">
      <c r="A5" s="111"/>
      <c r="B5" s="360"/>
      <c r="C5" s="360"/>
      <c r="D5" s="360"/>
      <c r="E5" s="360"/>
      <c r="F5" s="360"/>
      <c r="G5" s="360"/>
      <c r="H5" s="360"/>
      <c r="I5" s="360"/>
      <c r="J5" s="112"/>
      <c r="K5" s="113"/>
      <c r="L5" s="360"/>
      <c r="M5" s="360"/>
      <c r="N5" s="360"/>
      <c r="O5" s="360"/>
      <c r="P5" s="360"/>
      <c r="Q5" s="360"/>
      <c r="R5" s="360"/>
      <c r="S5" s="360"/>
    </row>
    <row r="6" spans="1:54" s="114" customFormat="1" ht="12.75" customHeight="1" x14ac:dyDescent="0.25">
      <c r="A6" s="111"/>
      <c r="B6" s="109"/>
      <c r="C6" s="109"/>
      <c r="D6" s="110"/>
      <c r="E6" s="109"/>
      <c r="F6" s="109"/>
      <c r="G6" s="109"/>
      <c r="H6" s="109"/>
      <c r="I6" s="109"/>
      <c r="J6" s="109"/>
      <c r="K6" s="109"/>
      <c r="L6" s="115"/>
      <c r="M6" s="116"/>
      <c r="N6" s="117"/>
      <c r="O6" s="116"/>
      <c r="P6" s="116"/>
      <c r="Q6" s="116"/>
      <c r="R6" s="116"/>
      <c r="S6" s="117"/>
    </row>
    <row r="7" spans="1:54" s="121" customFormat="1" ht="16.5" x14ac:dyDescent="0.2">
      <c r="A7" s="118"/>
      <c r="B7" s="119" t="s">
        <v>101</v>
      </c>
      <c r="C7" s="71"/>
      <c r="D7" s="88" t="s">
        <v>102</v>
      </c>
      <c r="E7" s="361">
        <f>'SPC Unit A'!E6:I6</f>
        <v>0</v>
      </c>
      <c r="F7" s="362"/>
      <c r="G7" s="362"/>
      <c r="H7" s="362"/>
      <c r="I7" s="363"/>
      <c r="J7" s="79"/>
      <c r="K7" s="85"/>
      <c r="L7" s="119" t="s">
        <v>101</v>
      </c>
      <c r="M7" s="120"/>
      <c r="N7" s="88" t="s">
        <v>102</v>
      </c>
      <c r="O7" s="361">
        <f t="shared" ref="O7:O11" si="0">E7</f>
        <v>0</v>
      </c>
      <c r="P7" s="362"/>
      <c r="Q7" s="362"/>
      <c r="R7" s="362"/>
      <c r="S7" s="363"/>
      <c r="AN7" s="122"/>
      <c r="BA7" s="123"/>
      <c r="BB7" s="124"/>
    </row>
    <row r="8" spans="1:54" s="121" customFormat="1" ht="16.5" x14ac:dyDescent="0.2">
      <c r="A8" s="118"/>
      <c r="B8" s="119" t="s">
        <v>103</v>
      </c>
      <c r="C8" s="125"/>
      <c r="D8" s="88" t="s">
        <v>102</v>
      </c>
      <c r="E8" s="471" t="str">
        <f>'Spot Equity 7 Days'!E7:H7</f>
        <v>Terraces Commonwealth Townhouse</v>
      </c>
      <c r="F8" s="472"/>
      <c r="G8" s="472"/>
      <c r="H8" s="472"/>
      <c r="I8" s="473"/>
      <c r="J8" s="79"/>
      <c r="K8" s="85"/>
      <c r="L8" s="126" t="s">
        <v>103</v>
      </c>
      <c r="M8" s="72"/>
      <c r="N8" s="88" t="s">
        <v>102</v>
      </c>
      <c r="O8" s="361" t="str">
        <f t="shared" si="0"/>
        <v>Terraces Commonwealth Townhouse</v>
      </c>
      <c r="P8" s="362"/>
      <c r="Q8" s="362"/>
      <c r="R8" s="362"/>
      <c r="S8" s="363"/>
      <c r="AN8" s="122"/>
      <c r="BA8" s="123"/>
      <c r="BB8" s="124"/>
    </row>
    <row r="9" spans="1:54" s="121" customFormat="1" ht="16.5" x14ac:dyDescent="0.2">
      <c r="A9" s="118"/>
      <c r="B9" s="119" t="s">
        <v>18</v>
      </c>
      <c r="C9" s="125"/>
      <c r="D9" s="88" t="s">
        <v>102</v>
      </c>
      <c r="E9" s="378" t="str">
        <f>'SPC Unit A'!E8:I8</f>
        <v>Unit A</v>
      </c>
      <c r="F9" s="378"/>
      <c r="G9" s="378"/>
      <c r="H9" s="378"/>
      <c r="I9" s="378"/>
      <c r="J9" s="79"/>
      <c r="K9" s="85"/>
      <c r="L9" s="126" t="s">
        <v>104</v>
      </c>
      <c r="M9" s="72"/>
      <c r="N9" s="88" t="s">
        <v>102</v>
      </c>
      <c r="O9" s="361" t="str">
        <f t="shared" si="0"/>
        <v>Unit A</v>
      </c>
      <c r="P9" s="362"/>
      <c r="Q9" s="362"/>
      <c r="R9" s="362"/>
      <c r="S9" s="363"/>
      <c r="AN9" s="122"/>
      <c r="BA9" s="123"/>
      <c r="BB9" s="124"/>
    </row>
    <row r="10" spans="1:54" s="121" customFormat="1" ht="16.5" hidden="1" x14ac:dyDescent="0.2">
      <c r="A10" s="118"/>
      <c r="B10" s="119" t="s">
        <v>191</v>
      </c>
      <c r="C10" s="125"/>
      <c r="D10" s="88" t="s">
        <v>102</v>
      </c>
      <c r="E10" s="378" t="str">
        <f>[3]FORM!I14</f>
        <v>TOWER 1</v>
      </c>
      <c r="F10" s="378"/>
      <c r="G10" s="378"/>
      <c r="H10" s="378"/>
      <c r="I10" s="378"/>
      <c r="J10" s="79"/>
      <c r="K10" s="85"/>
      <c r="L10" s="126" t="s">
        <v>191</v>
      </c>
      <c r="M10" s="72"/>
      <c r="N10" s="88" t="s">
        <v>102</v>
      </c>
      <c r="O10" s="361" t="str">
        <f t="shared" si="0"/>
        <v>TOWER 1</v>
      </c>
      <c r="P10" s="362"/>
      <c r="Q10" s="362"/>
      <c r="R10" s="362"/>
      <c r="S10" s="363"/>
      <c r="AN10" s="122"/>
      <c r="BA10" s="123"/>
      <c r="BB10" s="124"/>
    </row>
    <row r="11" spans="1:54" s="121" customFormat="1" ht="16.5" x14ac:dyDescent="0.2">
      <c r="A11" s="118"/>
      <c r="B11" s="119" t="s">
        <v>105</v>
      </c>
      <c r="C11" s="125"/>
      <c r="D11" s="88" t="s">
        <v>102</v>
      </c>
      <c r="E11" s="378" t="str">
        <f>'SPC Unit A'!E10:I10</f>
        <v>Front with own garage gate</v>
      </c>
      <c r="F11" s="378"/>
      <c r="G11" s="378"/>
      <c r="H11" s="378"/>
      <c r="I11" s="378"/>
      <c r="J11" s="79"/>
      <c r="K11" s="85"/>
      <c r="L11" s="126" t="s">
        <v>105</v>
      </c>
      <c r="M11" s="72"/>
      <c r="N11" s="88" t="s">
        <v>102</v>
      </c>
      <c r="O11" s="465" t="str">
        <f t="shared" si="0"/>
        <v>Front with own garage gate</v>
      </c>
      <c r="P11" s="419"/>
      <c r="Q11" s="466"/>
      <c r="R11" s="466"/>
      <c r="S11" s="467"/>
      <c r="AN11" s="122"/>
      <c r="BA11" s="123"/>
      <c r="BB11" s="124"/>
    </row>
    <row r="12" spans="1:54" s="121" customFormat="1" ht="16.5" x14ac:dyDescent="0.3">
      <c r="A12" s="118"/>
      <c r="B12" s="119" t="s">
        <v>106</v>
      </c>
      <c r="C12" s="125"/>
      <c r="D12" s="88" t="s">
        <v>102</v>
      </c>
      <c r="E12" s="500">
        <f>'SPC Unit A'!E11:F11</f>
        <v>66</v>
      </c>
      <c r="F12" s="500"/>
      <c r="G12" s="500"/>
      <c r="H12" s="127" t="s">
        <v>107</v>
      </c>
      <c r="I12" s="127"/>
      <c r="J12" s="79"/>
      <c r="K12" s="85"/>
      <c r="L12" s="126" t="s">
        <v>108</v>
      </c>
      <c r="M12" s="72"/>
      <c r="N12" s="88" t="s">
        <v>102</v>
      </c>
      <c r="O12" s="468">
        <f>E12</f>
        <v>66</v>
      </c>
      <c r="P12" s="469"/>
      <c r="Q12" s="128" t="s">
        <v>107</v>
      </c>
      <c r="R12" s="129"/>
      <c r="S12" s="130"/>
      <c r="AN12" s="122"/>
      <c r="BA12" s="123"/>
      <c r="BB12" s="124"/>
    </row>
    <row r="13" spans="1:54" s="121" customFormat="1" ht="16.5" x14ac:dyDescent="0.3">
      <c r="A13" s="118"/>
      <c r="B13" s="119" t="s">
        <v>92</v>
      </c>
      <c r="C13" s="125"/>
      <c r="D13" s="88" t="s">
        <v>102</v>
      </c>
      <c r="E13" s="500">
        <f>'SPC Unit A'!E12:F12</f>
        <v>156.74</v>
      </c>
      <c r="F13" s="500"/>
      <c r="G13" s="500"/>
      <c r="H13" s="127" t="s">
        <v>107</v>
      </c>
      <c r="I13" s="127"/>
      <c r="J13" s="76"/>
      <c r="K13" s="85"/>
      <c r="L13" s="72" t="s">
        <v>109</v>
      </c>
      <c r="M13" s="72"/>
      <c r="N13" s="88" t="s">
        <v>102</v>
      </c>
      <c r="O13" s="470">
        <f>E13</f>
        <v>156.74</v>
      </c>
      <c r="P13" s="470"/>
      <c r="Q13" s="131" t="s">
        <v>107</v>
      </c>
      <c r="R13" s="132"/>
      <c r="S13" s="133"/>
      <c r="AN13" s="122"/>
      <c r="BA13" s="123"/>
      <c r="BB13" s="124"/>
    </row>
    <row r="14" spans="1:54" s="121" customFormat="1" ht="16.5" hidden="1" x14ac:dyDescent="0.3">
      <c r="A14" s="118"/>
      <c r="B14" s="134"/>
      <c r="C14" s="82"/>
      <c r="D14" s="88" t="s">
        <v>102</v>
      </c>
      <c r="E14" s="503">
        <f>'[3]STANDARD COMP.'!E13:F13</f>
        <v>41.75</v>
      </c>
      <c r="F14" s="504"/>
      <c r="G14" s="135" t="s">
        <v>107</v>
      </c>
      <c r="H14" s="135"/>
      <c r="I14" s="136"/>
      <c r="J14" s="76" t="s">
        <v>190</v>
      </c>
      <c r="K14" s="85"/>
      <c r="L14" s="137" t="s">
        <v>7</v>
      </c>
      <c r="M14" s="116"/>
      <c r="N14" s="88" t="s">
        <v>102</v>
      </c>
      <c r="O14" s="474">
        <f>E14</f>
        <v>41.75</v>
      </c>
      <c r="P14" s="475"/>
      <c r="Q14" s="138" t="s">
        <v>107</v>
      </c>
      <c r="R14" s="139"/>
      <c r="S14" s="140"/>
      <c r="AN14" s="122"/>
      <c r="BA14" s="123"/>
      <c r="BB14" s="124"/>
    </row>
    <row r="15" spans="1:54" ht="16.5" x14ac:dyDescent="0.25">
      <c r="A15" s="141"/>
      <c r="B15" s="76"/>
      <c r="C15" s="76"/>
      <c r="D15" s="88"/>
      <c r="E15" s="142"/>
      <c r="F15" s="76"/>
      <c r="G15" s="76"/>
      <c r="H15" s="76"/>
      <c r="I15" s="76"/>
      <c r="J15" s="77"/>
      <c r="K15" s="76"/>
      <c r="L15" s="76"/>
      <c r="M15" s="76"/>
      <c r="N15" s="78"/>
      <c r="O15" s="76"/>
      <c r="P15" s="76"/>
      <c r="Q15" s="76"/>
      <c r="R15" s="76"/>
      <c r="S15" s="76"/>
    </row>
    <row r="16" spans="1:54" x14ac:dyDescent="0.25">
      <c r="A16" s="141"/>
      <c r="B16" s="143" t="s">
        <v>110</v>
      </c>
      <c r="C16" s="71"/>
      <c r="D16" s="85" t="s">
        <v>102</v>
      </c>
      <c r="E16" s="144"/>
      <c r="F16" s="385">
        <f>'SPC Unit A'!F15:I15</f>
        <v>9561140</v>
      </c>
      <c r="G16" s="385"/>
      <c r="H16" s="476"/>
      <c r="I16" s="145"/>
      <c r="J16" s="79"/>
      <c r="K16" s="79"/>
      <c r="L16" s="387" t="s">
        <v>111</v>
      </c>
      <c r="M16" s="387"/>
      <c r="N16" s="388" t="s">
        <v>112</v>
      </c>
      <c r="O16" s="387" t="s">
        <v>113</v>
      </c>
      <c r="P16" s="387"/>
      <c r="Q16" s="389" t="s">
        <v>114</v>
      </c>
      <c r="R16" s="477"/>
      <c r="S16" s="390"/>
    </row>
    <row r="17" spans="1:19" s="80" customFormat="1" ht="16.5" x14ac:dyDescent="0.25">
      <c r="A17" s="141"/>
      <c r="B17" s="126" t="s">
        <v>199</v>
      </c>
      <c r="C17" s="72"/>
      <c r="D17" s="88" t="s">
        <v>102</v>
      </c>
      <c r="E17" s="146">
        <v>0.1</v>
      </c>
      <c r="F17" s="479">
        <f>F16*E17</f>
        <v>956114</v>
      </c>
      <c r="G17" s="479"/>
      <c r="H17" s="480"/>
      <c r="I17" s="145"/>
      <c r="J17" s="76"/>
      <c r="K17" s="76"/>
      <c r="L17" s="387"/>
      <c r="M17" s="387"/>
      <c r="N17" s="388"/>
      <c r="O17" s="387"/>
      <c r="P17" s="387"/>
      <c r="Q17" s="391"/>
      <c r="R17" s="478"/>
      <c r="S17" s="392"/>
    </row>
    <row r="18" spans="1:19" ht="16.5" x14ac:dyDescent="0.25">
      <c r="A18" s="81"/>
      <c r="B18" s="126" t="s">
        <v>115</v>
      </c>
      <c r="C18" s="72"/>
      <c r="D18" s="88" t="s">
        <v>102</v>
      </c>
      <c r="E18" s="146"/>
      <c r="F18" s="481"/>
      <c r="G18" s="479"/>
      <c r="H18" s="479"/>
      <c r="I18" s="482"/>
      <c r="J18" s="79"/>
      <c r="K18" s="79"/>
      <c r="L18" s="378" t="s">
        <v>33</v>
      </c>
      <c r="M18" s="378"/>
      <c r="N18" s="147">
        <f ca="1">C2</f>
        <v>45932.593793518521</v>
      </c>
      <c r="O18" s="379">
        <f>F27</f>
        <v>50000</v>
      </c>
      <c r="P18" s="379"/>
      <c r="Q18" s="483"/>
      <c r="R18" s="484"/>
      <c r="S18" s="485"/>
    </row>
    <row r="19" spans="1:19" s="80" customFormat="1" ht="16.5" x14ac:dyDescent="0.25">
      <c r="A19" s="141"/>
      <c r="B19" s="148" t="s">
        <v>200</v>
      </c>
      <c r="C19" s="73"/>
      <c r="D19" s="85" t="s">
        <v>102</v>
      </c>
      <c r="E19" s="149"/>
      <c r="F19" s="502">
        <f>F16-(F17+F18)</f>
        <v>8605026</v>
      </c>
      <c r="G19" s="385"/>
      <c r="H19" s="385"/>
      <c r="I19" s="386"/>
      <c r="J19" s="76"/>
      <c r="K19" s="76"/>
      <c r="L19" s="378" t="s">
        <v>201</v>
      </c>
      <c r="M19" s="378"/>
      <c r="N19" s="147">
        <f ca="1">N18+30</f>
        <v>45962.593793518521</v>
      </c>
      <c r="O19" s="379">
        <f>F28</f>
        <v>9272111.5</v>
      </c>
      <c r="P19" s="379"/>
      <c r="Q19" s="483"/>
      <c r="R19" s="484"/>
      <c r="S19" s="485"/>
    </row>
    <row r="20" spans="1:19" ht="16.5" x14ac:dyDescent="0.25">
      <c r="A20" s="141"/>
      <c r="B20" s="150"/>
      <c r="C20" s="83"/>
      <c r="D20" s="88"/>
      <c r="E20" s="88"/>
      <c r="F20" s="151"/>
      <c r="G20" s="151"/>
      <c r="H20" s="151"/>
      <c r="I20" s="76"/>
      <c r="J20" s="76"/>
      <c r="K20" s="76"/>
      <c r="L20" s="428"/>
      <c r="M20" s="428"/>
      <c r="N20" s="84"/>
      <c r="O20" s="486"/>
      <c r="P20" s="486"/>
      <c r="Q20" s="487"/>
      <c r="R20" s="487"/>
      <c r="S20" s="79"/>
    </row>
    <row r="21" spans="1:19" ht="16.5" hidden="1" x14ac:dyDescent="0.25">
      <c r="A21" s="141"/>
      <c r="B21" s="74" t="s">
        <v>118</v>
      </c>
      <c r="C21" s="74"/>
      <c r="D21" s="88" t="s">
        <v>102</v>
      </c>
      <c r="E21" s="152">
        <v>0</v>
      </c>
      <c r="F21" s="490">
        <f>E21*F19</f>
        <v>0</v>
      </c>
      <c r="G21" s="491"/>
      <c r="H21" s="492"/>
      <c r="I21" s="130"/>
      <c r="J21" s="76"/>
      <c r="K21" s="76"/>
      <c r="L21" s="85"/>
      <c r="M21" s="85"/>
      <c r="N21" s="84"/>
      <c r="O21" s="86"/>
      <c r="P21" s="86"/>
      <c r="Q21" s="86"/>
      <c r="R21" s="79"/>
      <c r="S21" s="79"/>
    </row>
    <row r="22" spans="1:19" ht="16.5" x14ac:dyDescent="0.25">
      <c r="A22" s="141"/>
      <c r="B22" s="154" t="s">
        <v>121</v>
      </c>
      <c r="C22" s="74"/>
      <c r="D22" s="88" t="s">
        <v>102</v>
      </c>
      <c r="E22" s="152">
        <v>7.4999999999999997E-2</v>
      </c>
      <c r="F22" s="457">
        <f>E22*F16</f>
        <v>717085.5</v>
      </c>
      <c r="G22" s="454"/>
      <c r="H22" s="493"/>
      <c r="I22" s="133"/>
      <c r="J22" s="76"/>
      <c r="K22" s="76"/>
      <c r="L22" s="85"/>
      <c r="M22" s="85"/>
      <c r="N22" s="84"/>
      <c r="O22" s="86"/>
      <c r="P22" s="86"/>
      <c r="Q22" s="86"/>
      <c r="R22" s="79"/>
      <c r="S22" s="79"/>
    </row>
    <row r="23" spans="1:19" ht="16.5" x14ac:dyDescent="0.25">
      <c r="A23" s="81"/>
      <c r="B23" s="156"/>
      <c r="C23" s="87"/>
      <c r="D23" s="88"/>
      <c r="E23" s="76"/>
      <c r="F23" s="151"/>
      <c r="G23" s="151"/>
      <c r="H23" s="151"/>
      <c r="I23" s="76"/>
      <c r="J23" s="79"/>
      <c r="K23" s="76"/>
      <c r="L23" s="157"/>
      <c r="M23" s="76" t="s">
        <v>190</v>
      </c>
      <c r="N23" s="78"/>
      <c r="O23" s="76"/>
      <c r="P23" s="76"/>
      <c r="Q23" s="76"/>
      <c r="R23" s="76"/>
      <c r="S23" s="76"/>
    </row>
    <row r="24" spans="1:19" ht="16.5" x14ac:dyDescent="0.25">
      <c r="A24" s="141"/>
      <c r="B24" s="148" t="s">
        <v>32</v>
      </c>
      <c r="C24" s="73"/>
      <c r="D24" s="85" t="s">
        <v>102</v>
      </c>
      <c r="E24" s="158"/>
      <c r="F24" s="494">
        <f>F19+F21+F22</f>
        <v>9322111.5</v>
      </c>
      <c r="G24" s="495"/>
      <c r="H24" s="496"/>
      <c r="I24" s="145"/>
      <c r="J24" s="76"/>
      <c r="K24" s="79"/>
      <c r="L24" s="157"/>
      <c r="M24" s="76"/>
      <c r="N24" s="78"/>
      <c r="O24" s="76"/>
      <c r="P24" s="76"/>
      <c r="Q24" s="76"/>
      <c r="R24" s="76"/>
      <c r="S24" s="76"/>
    </row>
    <row r="25" spans="1:19" s="80" customFormat="1" ht="16.5" x14ac:dyDescent="0.25">
      <c r="A25" s="141"/>
      <c r="B25" s="150"/>
      <c r="C25" s="76"/>
      <c r="D25" s="88"/>
      <c r="E25" s="76"/>
      <c r="F25" s="151"/>
      <c r="G25" s="151"/>
      <c r="H25" s="151"/>
      <c r="I25" s="76"/>
      <c r="J25" s="76"/>
      <c r="K25" s="76"/>
      <c r="L25" s="79" t="s">
        <v>185</v>
      </c>
      <c r="M25" s="79"/>
      <c r="N25" s="85"/>
      <c r="O25" s="79"/>
      <c r="P25" s="96"/>
      <c r="Q25" s="79" t="s">
        <v>186</v>
      </c>
      <c r="R25" s="76"/>
      <c r="S25" s="76"/>
    </row>
    <row r="26" spans="1:19" ht="16.5" x14ac:dyDescent="0.25">
      <c r="A26" s="81"/>
      <c r="B26" s="501" t="s">
        <v>201</v>
      </c>
      <c r="C26" s="501"/>
      <c r="D26" s="85" t="s">
        <v>102</v>
      </c>
      <c r="E26" s="159">
        <v>1</v>
      </c>
      <c r="F26" s="497">
        <f>F24*E26</f>
        <v>9322111.5</v>
      </c>
      <c r="G26" s="495"/>
      <c r="H26" s="495"/>
      <c r="I26" s="498"/>
      <c r="J26" s="79"/>
      <c r="K26" s="76"/>
      <c r="L26" s="76"/>
      <c r="M26" s="76"/>
      <c r="N26" s="88"/>
      <c r="O26" s="76"/>
      <c r="P26" s="76"/>
      <c r="Q26" s="76"/>
      <c r="R26" s="76"/>
      <c r="S26" s="76"/>
    </row>
    <row r="27" spans="1:19" s="80" customFormat="1" ht="16.5" x14ac:dyDescent="0.25">
      <c r="A27" s="141"/>
      <c r="B27" s="364" t="s">
        <v>202</v>
      </c>
      <c r="C27" s="364"/>
      <c r="D27" s="88" t="s">
        <v>102</v>
      </c>
      <c r="E27" s="160"/>
      <c r="F27" s="490">
        <f>'SPC Unit A'!F26</f>
        <v>50000</v>
      </c>
      <c r="G27" s="491"/>
      <c r="H27" s="491"/>
      <c r="I27" s="499"/>
      <c r="J27" s="79"/>
      <c r="K27" s="79"/>
      <c r="L27" s="76"/>
      <c r="M27" s="76"/>
      <c r="N27" s="88"/>
      <c r="O27" s="76"/>
      <c r="P27" s="76"/>
      <c r="Q27" s="76"/>
      <c r="R27" s="76"/>
      <c r="S27" s="76"/>
    </row>
    <row r="28" spans="1:19" s="80" customFormat="1" ht="16.5" x14ac:dyDescent="0.25">
      <c r="A28" s="81"/>
      <c r="B28" s="501" t="s">
        <v>203</v>
      </c>
      <c r="C28" s="501"/>
      <c r="D28" s="85" t="s">
        <v>102</v>
      </c>
      <c r="E28" s="161"/>
      <c r="F28" s="497">
        <f>F26-F27</f>
        <v>9272111.5</v>
      </c>
      <c r="G28" s="495"/>
      <c r="H28" s="495"/>
      <c r="I28" s="498"/>
      <c r="J28" s="76"/>
      <c r="K28" s="79"/>
      <c r="L28" s="420">
        <f>B35</f>
        <v>0</v>
      </c>
      <c r="M28" s="420"/>
      <c r="N28" s="420"/>
      <c r="O28" s="79"/>
      <c r="P28" s="79"/>
      <c r="Q28" s="420"/>
      <c r="R28" s="420"/>
      <c r="S28" s="420"/>
    </row>
    <row r="29" spans="1:19" ht="16.5" x14ac:dyDescent="0.25">
      <c r="A29" s="141"/>
      <c r="B29" s="150"/>
      <c r="C29" s="76"/>
      <c r="D29" s="88"/>
      <c r="E29" s="76"/>
      <c r="F29" s="76"/>
      <c r="G29" s="76"/>
      <c r="H29" s="76"/>
      <c r="I29" s="76"/>
      <c r="J29" s="76"/>
      <c r="K29" s="76"/>
      <c r="L29" s="89" t="s">
        <v>187</v>
      </c>
      <c r="M29" s="488"/>
      <c r="N29" s="489"/>
      <c r="O29" s="76"/>
      <c r="P29" s="76"/>
      <c r="Q29" s="90" t="s">
        <v>188</v>
      </c>
      <c r="R29" s="488"/>
      <c r="S29" s="489"/>
    </row>
    <row r="30" spans="1:19" ht="16.5" x14ac:dyDescent="0.3">
      <c r="A30" s="141"/>
      <c r="E30" s="165"/>
      <c r="I30" s="79"/>
      <c r="J30" s="79"/>
      <c r="K30" s="76"/>
      <c r="L30" s="91"/>
      <c r="M30" s="91"/>
      <c r="N30" s="92"/>
      <c r="O30" s="91"/>
      <c r="P30" s="91"/>
      <c r="Q30" s="91"/>
      <c r="R30" s="91"/>
      <c r="S30" s="91"/>
    </row>
    <row r="31" spans="1:19" ht="12.75" customHeight="1" x14ac:dyDescent="0.25">
      <c r="A31" s="141"/>
      <c r="B31" s="76"/>
      <c r="C31" s="76"/>
      <c r="D31" s="88"/>
      <c r="E31" s="76"/>
      <c r="F31" s="76"/>
      <c r="G31" s="76"/>
      <c r="H31" s="76"/>
      <c r="I31" s="76"/>
      <c r="J31" s="76"/>
      <c r="K31" s="76"/>
    </row>
    <row r="32" spans="1:19" ht="12.75" customHeight="1" x14ac:dyDescent="0.25">
      <c r="A32" s="141"/>
      <c r="B32" s="79" t="s">
        <v>185</v>
      </c>
      <c r="C32" s="79"/>
      <c r="D32" s="85"/>
      <c r="E32" s="79"/>
      <c r="G32" s="79" t="s">
        <v>186</v>
      </c>
      <c r="H32" s="76"/>
      <c r="I32" s="76"/>
      <c r="J32" s="76"/>
      <c r="K32" s="76"/>
    </row>
    <row r="33" spans="1:11" ht="16.5" x14ac:dyDescent="0.25">
      <c r="A33" s="141"/>
      <c r="B33" s="76"/>
      <c r="C33" s="76"/>
      <c r="D33" s="88"/>
      <c r="E33" s="76"/>
      <c r="F33" s="76"/>
      <c r="G33" s="76"/>
      <c r="H33" s="76"/>
      <c r="I33" s="76"/>
      <c r="J33" s="76"/>
      <c r="K33" s="76"/>
    </row>
    <row r="34" spans="1:11" ht="16.5" x14ac:dyDescent="0.25">
      <c r="A34" s="141"/>
      <c r="B34" s="76"/>
      <c r="C34" s="76"/>
      <c r="D34" s="88"/>
      <c r="E34" s="76"/>
      <c r="F34" s="76"/>
      <c r="G34" s="76"/>
      <c r="H34" s="76"/>
      <c r="I34" s="76"/>
      <c r="J34" s="79"/>
      <c r="K34" s="76"/>
    </row>
    <row r="35" spans="1:11" ht="12.75" customHeight="1" x14ac:dyDescent="0.25">
      <c r="A35" s="141"/>
      <c r="B35" s="420">
        <f>'SPC Unit A'!B70</f>
        <v>0</v>
      </c>
      <c r="C35" s="420"/>
      <c r="D35" s="420"/>
      <c r="E35" s="79"/>
      <c r="F35" s="79"/>
      <c r="G35" s="420"/>
      <c r="H35" s="420"/>
      <c r="I35" s="420"/>
      <c r="J35" s="76"/>
      <c r="K35" s="76"/>
    </row>
    <row r="36" spans="1:11" ht="12.75" customHeight="1" x14ac:dyDescent="0.25">
      <c r="A36" s="141"/>
      <c r="B36" s="89" t="s">
        <v>188</v>
      </c>
      <c r="C36" s="488"/>
      <c r="D36" s="489"/>
      <c r="E36" s="76"/>
      <c r="F36" s="76"/>
      <c r="G36" s="90" t="s">
        <v>188</v>
      </c>
      <c r="H36" s="488"/>
      <c r="I36" s="489"/>
      <c r="J36" s="76"/>
      <c r="K36" s="76"/>
    </row>
    <row r="37" spans="1:11" ht="12.75" customHeight="1" x14ac:dyDescent="0.25">
      <c r="A37" s="141"/>
      <c r="B37" s="76"/>
      <c r="C37" s="76"/>
      <c r="D37" s="88"/>
      <c r="E37" s="76"/>
      <c r="F37" s="76"/>
      <c r="G37" s="76"/>
      <c r="H37" s="76"/>
      <c r="I37" s="76"/>
      <c r="J37" s="76"/>
      <c r="K37" s="76"/>
    </row>
    <row r="38" spans="1:11" ht="12.75" customHeight="1" x14ac:dyDescent="0.3">
      <c r="B38" s="76"/>
      <c r="C38" s="76"/>
      <c r="D38" s="88"/>
      <c r="E38" s="76"/>
      <c r="F38" s="76"/>
      <c r="G38" s="76"/>
      <c r="H38" s="76"/>
      <c r="I38" s="76"/>
      <c r="J38" s="91"/>
      <c r="K38" s="79"/>
    </row>
    <row r="39" spans="1:11" ht="12.75" customHeight="1" x14ac:dyDescent="0.3">
      <c r="B39" s="91"/>
      <c r="C39" s="91"/>
      <c r="D39" s="93"/>
      <c r="E39" s="91"/>
      <c r="F39" s="91"/>
      <c r="G39" s="91"/>
      <c r="H39" s="91"/>
      <c r="I39" s="91"/>
      <c r="J39" s="91"/>
      <c r="K39" s="91"/>
    </row>
    <row r="40" spans="1:11" ht="16.5" x14ac:dyDescent="0.3">
      <c r="B40" s="91"/>
      <c r="C40" s="91"/>
      <c r="D40" s="93"/>
      <c r="E40" s="91"/>
      <c r="F40" s="91"/>
      <c r="G40" s="91"/>
      <c r="H40" s="91"/>
      <c r="I40" s="91"/>
      <c r="J40" s="91"/>
      <c r="K40" s="91"/>
    </row>
    <row r="41" spans="1:11" ht="16.5" x14ac:dyDescent="0.3">
      <c r="B41" s="91"/>
      <c r="C41" s="91"/>
      <c r="D41" s="93"/>
      <c r="E41" s="91"/>
      <c r="F41" s="91"/>
      <c r="G41" s="91"/>
      <c r="H41" s="91"/>
      <c r="I41" s="91"/>
      <c r="J41" s="91"/>
      <c r="K41" s="91"/>
    </row>
    <row r="42" spans="1:11" ht="16.5" x14ac:dyDescent="0.3">
      <c r="A42" s="94">
        <f>F19*E21</f>
        <v>0</v>
      </c>
      <c r="B42" s="91"/>
      <c r="C42" s="91"/>
      <c r="D42" s="93"/>
      <c r="E42" s="91"/>
      <c r="F42" s="91"/>
      <c r="G42" s="91"/>
      <c r="H42" s="91"/>
      <c r="I42" s="91"/>
      <c r="J42" s="91"/>
      <c r="K42" s="91"/>
    </row>
    <row r="43" spans="1:11" ht="16.5" x14ac:dyDescent="0.3">
      <c r="B43" s="91"/>
      <c r="C43" s="91"/>
      <c r="D43" s="93"/>
      <c r="E43" s="91"/>
      <c r="F43" s="91"/>
      <c r="G43" s="91"/>
      <c r="H43" s="91"/>
      <c r="I43" s="91"/>
      <c r="J43" s="91"/>
      <c r="K43" s="91"/>
    </row>
    <row r="44" spans="1:11" ht="16.5" x14ac:dyDescent="0.3">
      <c r="A44" s="95">
        <f>F19*12%</f>
        <v>1032603.12</v>
      </c>
      <c r="B44" s="91"/>
      <c r="C44" s="91"/>
      <c r="D44" s="93"/>
      <c r="E44" s="91"/>
      <c r="F44" s="91"/>
      <c r="G44" s="91"/>
      <c r="H44" s="91"/>
      <c r="I44" s="91"/>
      <c r="K44" s="91"/>
    </row>
    <row r="45" spans="1:11" ht="16.5" x14ac:dyDescent="0.3">
      <c r="K45" s="91"/>
    </row>
    <row r="46" spans="1:11" ht="16.5" x14ac:dyDescent="0.3">
      <c r="K46" s="91"/>
    </row>
    <row r="47" spans="1:11" ht="16.5" x14ac:dyDescent="0.3">
      <c r="K47" s="91"/>
    </row>
  </sheetData>
  <mergeCells count="55">
    <mergeCell ref="C36:D36"/>
    <mergeCell ref="H36:I36"/>
    <mergeCell ref="E12:G12"/>
    <mergeCell ref="E13:G13"/>
    <mergeCell ref="B35:D35"/>
    <mergeCell ref="G35:I35"/>
    <mergeCell ref="B28:C28"/>
    <mergeCell ref="F28:I28"/>
    <mergeCell ref="B26:C26"/>
    <mergeCell ref="B27:C27"/>
    <mergeCell ref="F19:I19"/>
    <mergeCell ref="E14:F14"/>
    <mergeCell ref="L28:N28"/>
    <mergeCell ref="Q28:S28"/>
    <mergeCell ref="M29:N29"/>
    <mergeCell ref="R29:S29"/>
    <mergeCell ref="F21:H21"/>
    <mergeCell ref="F22:H22"/>
    <mergeCell ref="F24:H24"/>
    <mergeCell ref="F26:I26"/>
    <mergeCell ref="F27:I27"/>
    <mergeCell ref="L19:M19"/>
    <mergeCell ref="O19:P19"/>
    <mergeCell ref="Q19:S19"/>
    <mergeCell ref="L20:M20"/>
    <mergeCell ref="O20:P20"/>
    <mergeCell ref="Q20:R20"/>
    <mergeCell ref="Q16:S17"/>
    <mergeCell ref="F17:H17"/>
    <mergeCell ref="F18:I18"/>
    <mergeCell ref="L18:M18"/>
    <mergeCell ref="O18:P18"/>
    <mergeCell ref="Q18:S18"/>
    <mergeCell ref="O14:P14"/>
    <mergeCell ref="F16:H16"/>
    <mergeCell ref="L16:M17"/>
    <mergeCell ref="N16:N17"/>
    <mergeCell ref="O16:P17"/>
    <mergeCell ref="E11:I11"/>
    <mergeCell ref="O11:S11"/>
    <mergeCell ref="O12:P12"/>
    <mergeCell ref="O13:P13"/>
    <mergeCell ref="E8:I8"/>
    <mergeCell ref="O8:S8"/>
    <mergeCell ref="E9:I9"/>
    <mergeCell ref="O9:S9"/>
    <mergeCell ref="E10:I10"/>
    <mergeCell ref="O10:S10"/>
    <mergeCell ref="E7:I7"/>
    <mergeCell ref="O7:S7"/>
    <mergeCell ref="H2:I2"/>
    <mergeCell ref="R2:S2"/>
    <mergeCell ref="R3:S3"/>
    <mergeCell ref="B4:I5"/>
    <mergeCell ref="L4:S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02371-B57A-4667-A5F8-E40B70AE7B23}">
  <dimension ref="A1:BB48"/>
  <sheetViews>
    <sheetView topLeftCell="A3" zoomScale="90" zoomScaleNormal="90" workbookViewId="0">
      <selection activeCell="E17" sqref="E17"/>
    </sheetView>
  </sheetViews>
  <sheetFormatPr defaultColWidth="9.140625" defaultRowHeight="15" x14ac:dyDescent="0.25"/>
  <cols>
    <col min="1" max="1" width="1" style="96" customWidth="1"/>
    <col min="2" max="2" width="13.140625" style="96" customWidth="1"/>
    <col min="3" max="3" width="18.28515625" style="96" customWidth="1"/>
    <col min="4" max="4" width="16.42578125" style="97" customWidth="1"/>
    <col min="5" max="5" width="14" style="96" customWidth="1"/>
    <col min="6" max="6" width="9.42578125" style="96" customWidth="1"/>
    <col min="7" max="7" width="13" style="96" customWidth="1"/>
    <col min="8" max="8" width="4.28515625" style="96" customWidth="1"/>
    <col min="9" max="9" width="22" style="96" customWidth="1"/>
    <col min="10" max="10" width="0.85546875" style="96" customWidth="1"/>
    <col min="11" max="11" width="1" style="96" customWidth="1"/>
    <col min="12" max="12" width="9.140625" style="96"/>
    <col min="13" max="13" width="21.5703125" style="96" customWidth="1"/>
    <col min="14" max="14" width="17.7109375" style="75" customWidth="1"/>
    <col min="15" max="15" width="5.85546875" style="96" customWidth="1"/>
    <col min="16" max="16" width="17.5703125" style="96" customWidth="1"/>
    <col min="17" max="17" width="11.28515625" style="96" customWidth="1"/>
    <col min="18" max="18" width="9" style="96" customWidth="1"/>
    <col min="19" max="19" width="18.28515625" style="96" customWidth="1"/>
    <col min="20" max="16384" width="9.140625" style="96"/>
  </cols>
  <sheetData>
    <row r="1" spans="1:54" ht="7.5" customHeight="1" x14ac:dyDescent="0.25"/>
    <row r="2" spans="1:54" ht="16.5" x14ac:dyDescent="0.3">
      <c r="B2" s="98" t="s">
        <v>94</v>
      </c>
      <c r="C2" s="99">
        <f ca="1">'Spot Equity 7 Days'!C2</f>
        <v>45932.593793518521</v>
      </c>
      <c r="D2" s="100"/>
      <c r="F2" s="100"/>
      <c r="G2" s="101" t="s">
        <v>196</v>
      </c>
      <c r="H2" s="461" t="s">
        <v>96</v>
      </c>
      <c r="I2" s="461"/>
      <c r="J2" s="100"/>
      <c r="K2" s="102"/>
      <c r="L2" s="103" t="s">
        <v>197</v>
      </c>
      <c r="M2" s="104">
        <f ca="1">C2</f>
        <v>45932.593793518521</v>
      </c>
      <c r="N2" s="105"/>
      <c r="O2" s="105"/>
      <c r="Q2" s="103" t="str">
        <f>G2</f>
        <v xml:space="preserve">PAGE: </v>
      </c>
      <c r="R2" s="462" t="s">
        <v>98</v>
      </c>
      <c r="S2" s="463"/>
    </row>
    <row r="3" spans="1:54" s="106" customFormat="1" ht="16.5" x14ac:dyDescent="0.3">
      <c r="B3" s="107"/>
      <c r="C3" s="108"/>
      <c r="D3" s="108"/>
      <c r="E3" s="107"/>
      <c r="F3" s="107"/>
      <c r="G3" s="109"/>
      <c r="H3" s="109"/>
      <c r="I3" s="109"/>
      <c r="J3" s="110"/>
      <c r="K3" s="109"/>
      <c r="L3" s="107"/>
      <c r="M3" s="108"/>
      <c r="N3" s="108"/>
      <c r="O3" s="107"/>
      <c r="P3" s="107"/>
      <c r="Q3" s="107"/>
      <c r="R3" s="464"/>
      <c r="S3" s="464"/>
    </row>
    <row r="4" spans="1:54" s="114" customFormat="1" ht="12.75" customHeight="1" x14ac:dyDescent="0.25">
      <c r="A4" s="111"/>
      <c r="B4" s="360" t="s">
        <v>204</v>
      </c>
      <c r="C4" s="360"/>
      <c r="D4" s="360"/>
      <c r="E4" s="360"/>
      <c r="F4" s="360"/>
      <c r="G4" s="360"/>
      <c r="H4" s="360"/>
      <c r="I4" s="360"/>
      <c r="J4" s="112"/>
      <c r="K4" s="113"/>
      <c r="L4" s="360" t="s">
        <v>100</v>
      </c>
      <c r="M4" s="360"/>
      <c r="N4" s="360"/>
      <c r="O4" s="360"/>
      <c r="P4" s="360"/>
      <c r="Q4" s="360"/>
      <c r="R4" s="360"/>
      <c r="S4" s="360"/>
    </row>
    <row r="5" spans="1:54" s="114" customFormat="1" ht="12.75" customHeight="1" x14ac:dyDescent="0.25">
      <c r="A5" s="111"/>
      <c r="B5" s="360"/>
      <c r="C5" s="360"/>
      <c r="D5" s="360"/>
      <c r="E5" s="360"/>
      <c r="F5" s="360"/>
      <c r="G5" s="360"/>
      <c r="H5" s="360"/>
      <c r="I5" s="360"/>
      <c r="J5" s="112"/>
      <c r="K5" s="113"/>
      <c r="L5" s="360"/>
      <c r="M5" s="360"/>
      <c r="N5" s="360"/>
      <c r="O5" s="360"/>
      <c r="P5" s="360"/>
      <c r="Q5" s="360"/>
      <c r="R5" s="360"/>
      <c r="S5" s="360"/>
    </row>
    <row r="6" spans="1:54" s="114" customFormat="1" ht="12.75" customHeight="1" x14ac:dyDescent="0.25">
      <c r="A6" s="111"/>
      <c r="B6" s="109"/>
      <c r="C6" s="109"/>
      <c r="D6" s="110"/>
      <c r="E6" s="109"/>
      <c r="F6" s="109"/>
      <c r="G6" s="109"/>
      <c r="H6" s="109"/>
      <c r="I6" s="109"/>
      <c r="J6" s="109"/>
      <c r="K6" s="109"/>
      <c r="L6" s="115"/>
      <c r="M6" s="116"/>
      <c r="N6" s="117"/>
      <c r="O6" s="116"/>
      <c r="P6" s="116"/>
      <c r="Q6" s="116"/>
      <c r="R6" s="116"/>
      <c r="S6" s="117"/>
    </row>
    <row r="7" spans="1:54" s="121" customFormat="1" ht="16.5" x14ac:dyDescent="0.2">
      <c r="A7" s="118"/>
      <c r="B7" s="119" t="s">
        <v>101</v>
      </c>
      <c r="C7" s="71"/>
      <c r="D7" s="88" t="s">
        <v>102</v>
      </c>
      <c r="E7" s="361">
        <f>'SPC Unit A'!E6:I6</f>
        <v>0</v>
      </c>
      <c r="F7" s="362"/>
      <c r="G7" s="362"/>
      <c r="H7" s="362"/>
      <c r="I7" s="363"/>
      <c r="J7" s="79"/>
      <c r="K7" s="85"/>
      <c r="L7" s="119" t="s">
        <v>101</v>
      </c>
      <c r="M7" s="120"/>
      <c r="N7" s="88" t="s">
        <v>102</v>
      </c>
      <c r="O7" s="361">
        <f t="shared" ref="O7:O11" si="0">E7</f>
        <v>0</v>
      </c>
      <c r="P7" s="362"/>
      <c r="Q7" s="362"/>
      <c r="R7" s="362"/>
      <c r="S7" s="363"/>
      <c r="AN7" s="122"/>
      <c r="BA7" s="123"/>
      <c r="BB7" s="124"/>
    </row>
    <row r="8" spans="1:54" s="121" customFormat="1" ht="16.5" x14ac:dyDescent="0.2">
      <c r="A8" s="118"/>
      <c r="B8" s="119" t="s">
        <v>103</v>
      </c>
      <c r="C8" s="125"/>
      <c r="D8" s="88" t="s">
        <v>102</v>
      </c>
      <c r="E8" s="471" t="str">
        <f>'Spot Cash_30 Days'!E8:I8</f>
        <v>Terraces Commonwealth Townhouse</v>
      </c>
      <c r="F8" s="472"/>
      <c r="G8" s="472"/>
      <c r="H8" s="472"/>
      <c r="I8" s="473"/>
      <c r="J8" s="79"/>
      <c r="K8" s="85"/>
      <c r="L8" s="126" t="s">
        <v>103</v>
      </c>
      <c r="M8" s="72"/>
      <c r="N8" s="88" t="s">
        <v>102</v>
      </c>
      <c r="O8" s="361" t="str">
        <f t="shared" si="0"/>
        <v>Terraces Commonwealth Townhouse</v>
      </c>
      <c r="P8" s="362"/>
      <c r="Q8" s="362"/>
      <c r="R8" s="362"/>
      <c r="S8" s="363"/>
      <c r="AN8" s="122"/>
      <c r="BA8" s="123"/>
      <c r="BB8" s="124"/>
    </row>
    <row r="9" spans="1:54" s="121" customFormat="1" ht="16.5" x14ac:dyDescent="0.2">
      <c r="A9" s="118"/>
      <c r="B9" s="119" t="s">
        <v>18</v>
      </c>
      <c r="C9" s="125"/>
      <c r="D9" s="88" t="s">
        <v>102</v>
      </c>
      <c r="E9" s="378" t="str">
        <f>'SPC Unit A'!E8:I8</f>
        <v>Unit A</v>
      </c>
      <c r="F9" s="378"/>
      <c r="G9" s="378"/>
      <c r="H9" s="378"/>
      <c r="I9" s="378"/>
      <c r="J9" s="79"/>
      <c r="K9" s="85"/>
      <c r="L9" s="126" t="s">
        <v>104</v>
      </c>
      <c r="M9" s="72"/>
      <c r="N9" s="88" t="s">
        <v>102</v>
      </c>
      <c r="O9" s="361" t="str">
        <f t="shared" si="0"/>
        <v>Unit A</v>
      </c>
      <c r="P9" s="362"/>
      <c r="Q9" s="362"/>
      <c r="R9" s="362"/>
      <c r="S9" s="363"/>
      <c r="AN9" s="122"/>
      <c r="BA9" s="123"/>
      <c r="BB9" s="124"/>
    </row>
    <row r="10" spans="1:54" s="121" customFormat="1" ht="16.5" hidden="1" x14ac:dyDescent="0.2">
      <c r="A10" s="118"/>
      <c r="B10" s="119" t="s">
        <v>191</v>
      </c>
      <c r="C10" s="125"/>
      <c r="D10" s="88" t="s">
        <v>102</v>
      </c>
      <c r="E10" s="378" t="str">
        <f>[3]FORM!I14</f>
        <v>TOWER 1</v>
      </c>
      <c r="F10" s="378"/>
      <c r="G10" s="378"/>
      <c r="H10" s="378"/>
      <c r="I10" s="378"/>
      <c r="J10" s="79"/>
      <c r="K10" s="85"/>
      <c r="L10" s="126" t="s">
        <v>191</v>
      </c>
      <c r="M10" s="72"/>
      <c r="N10" s="88" t="s">
        <v>102</v>
      </c>
      <c r="O10" s="361" t="str">
        <f t="shared" si="0"/>
        <v>TOWER 1</v>
      </c>
      <c r="P10" s="362"/>
      <c r="Q10" s="362"/>
      <c r="R10" s="362"/>
      <c r="S10" s="363"/>
      <c r="AN10" s="122"/>
      <c r="BA10" s="123"/>
      <c r="BB10" s="124"/>
    </row>
    <row r="11" spans="1:54" s="121" customFormat="1" ht="16.5" x14ac:dyDescent="0.2">
      <c r="A11" s="118"/>
      <c r="B11" s="119" t="s">
        <v>105</v>
      </c>
      <c r="C11" s="125"/>
      <c r="D11" s="88" t="s">
        <v>102</v>
      </c>
      <c r="E11" s="378" t="str">
        <f>'SPC Unit A'!E10:I10</f>
        <v>Front with own garage gate</v>
      </c>
      <c r="F11" s="378"/>
      <c r="G11" s="378"/>
      <c r="H11" s="378"/>
      <c r="I11" s="378"/>
      <c r="J11" s="79"/>
      <c r="K11" s="85"/>
      <c r="L11" s="126" t="s">
        <v>105</v>
      </c>
      <c r="M11" s="72"/>
      <c r="N11" s="88" t="s">
        <v>102</v>
      </c>
      <c r="O11" s="465" t="str">
        <f t="shared" si="0"/>
        <v>Front with own garage gate</v>
      </c>
      <c r="P11" s="419"/>
      <c r="Q11" s="466"/>
      <c r="R11" s="466"/>
      <c r="S11" s="467"/>
      <c r="AN11" s="122"/>
      <c r="BA11" s="123"/>
      <c r="BB11" s="124"/>
    </row>
    <row r="12" spans="1:54" s="121" customFormat="1" ht="16.5" x14ac:dyDescent="0.3">
      <c r="A12" s="118"/>
      <c r="B12" s="119" t="s">
        <v>106</v>
      </c>
      <c r="C12" s="125"/>
      <c r="D12" s="88" t="s">
        <v>102</v>
      </c>
      <c r="E12" s="500">
        <f>'SPC Unit A'!E11:F11</f>
        <v>66</v>
      </c>
      <c r="F12" s="500"/>
      <c r="G12" s="500"/>
      <c r="H12" s="127" t="s">
        <v>107</v>
      </c>
      <c r="I12" s="127"/>
      <c r="J12" s="79"/>
      <c r="K12" s="85"/>
      <c r="L12" s="126" t="s">
        <v>108</v>
      </c>
      <c r="M12" s="72"/>
      <c r="N12" s="88" t="s">
        <v>102</v>
      </c>
      <c r="O12" s="468">
        <f>E12</f>
        <v>66</v>
      </c>
      <c r="P12" s="469"/>
      <c r="Q12" s="128" t="s">
        <v>107</v>
      </c>
      <c r="R12" s="129"/>
      <c r="S12" s="130"/>
      <c r="AN12" s="122"/>
      <c r="BA12" s="123"/>
      <c r="BB12" s="124"/>
    </row>
    <row r="13" spans="1:54" s="121" customFormat="1" ht="16.5" x14ac:dyDescent="0.3">
      <c r="A13" s="118"/>
      <c r="B13" s="119" t="s">
        <v>92</v>
      </c>
      <c r="C13" s="125"/>
      <c r="D13" s="88" t="s">
        <v>102</v>
      </c>
      <c r="E13" s="500">
        <f>'SPC Unit A'!E12:F12</f>
        <v>156.74</v>
      </c>
      <c r="F13" s="500"/>
      <c r="G13" s="500"/>
      <c r="H13" s="127" t="s">
        <v>107</v>
      </c>
      <c r="I13" s="127"/>
      <c r="J13" s="76"/>
      <c r="K13" s="85"/>
      <c r="L13" s="72" t="s">
        <v>109</v>
      </c>
      <c r="M13" s="72"/>
      <c r="N13" s="88" t="s">
        <v>102</v>
      </c>
      <c r="O13" s="470">
        <f>E13</f>
        <v>156.74</v>
      </c>
      <c r="P13" s="470"/>
      <c r="Q13" s="131" t="s">
        <v>107</v>
      </c>
      <c r="R13" s="132"/>
      <c r="S13" s="133"/>
      <c r="AN13" s="122"/>
      <c r="BA13" s="123"/>
      <c r="BB13" s="124"/>
    </row>
    <row r="14" spans="1:54" s="121" customFormat="1" ht="16.5" hidden="1" x14ac:dyDescent="0.3">
      <c r="A14" s="118"/>
      <c r="B14" s="134"/>
      <c r="C14" s="82"/>
      <c r="D14" s="88" t="s">
        <v>102</v>
      </c>
      <c r="E14" s="503">
        <f>'[3]STANDARD COMP.'!E13:F13</f>
        <v>41.75</v>
      </c>
      <c r="F14" s="504"/>
      <c r="G14" s="135" t="s">
        <v>107</v>
      </c>
      <c r="H14" s="135"/>
      <c r="I14" s="136"/>
      <c r="J14" s="76" t="s">
        <v>190</v>
      </c>
      <c r="K14" s="85"/>
      <c r="L14" s="137" t="s">
        <v>7</v>
      </c>
      <c r="M14" s="116"/>
      <c r="N14" s="88" t="s">
        <v>102</v>
      </c>
      <c r="O14" s="474">
        <f>E14</f>
        <v>41.75</v>
      </c>
      <c r="P14" s="475"/>
      <c r="Q14" s="138" t="s">
        <v>107</v>
      </c>
      <c r="R14" s="139"/>
      <c r="S14" s="140"/>
      <c r="AN14" s="122"/>
      <c r="BA14" s="123"/>
      <c r="BB14" s="124"/>
    </row>
    <row r="15" spans="1:54" ht="16.5" x14ac:dyDescent="0.25">
      <c r="A15" s="141"/>
      <c r="B15" s="76"/>
      <c r="C15" s="76"/>
      <c r="D15" s="88"/>
      <c r="E15" s="142"/>
      <c r="F15" s="76"/>
      <c r="G15" s="76"/>
      <c r="H15" s="76"/>
      <c r="I15" s="76"/>
      <c r="J15" s="77"/>
      <c r="K15" s="76"/>
      <c r="L15" s="76"/>
      <c r="M15" s="76"/>
      <c r="N15" s="78"/>
      <c r="O15" s="76"/>
      <c r="P15" s="76"/>
      <c r="Q15" s="76"/>
      <c r="R15" s="76"/>
      <c r="S15" s="76"/>
    </row>
    <row r="16" spans="1:54" x14ac:dyDescent="0.25">
      <c r="A16" s="141"/>
      <c r="B16" s="143" t="s">
        <v>110</v>
      </c>
      <c r="C16" s="71"/>
      <c r="D16" s="85" t="s">
        <v>102</v>
      </c>
      <c r="E16" s="144"/>
      <c r="F16" s="385">
        <f>'SPC Unit A'!F15:I15</f>
        <v>9561140</v>
      </c>
      <c r="G16" s="385"/>
      <c r="H16" s="476"/>
      <c r="I16" s="145"/>
      <c r="J16" s="79"/>
      <c r="K16" s="79"/>
      <c r="L16" s="387" t="s">
        <v>111</v>
      </c>
      <c r="M16" s="387"/>
      <c r="N16" s="388" t="s">
        <v>112</v>
      </c>
      <c r="O16" s="387" t="s">
        <v>113</v>
      </c>
      <c r="P16" s="387"/>
      <c r="Q16" s="389" t="s">
        <v>114</v>
      </c>
      <c r="R16" s="477"/>
      <c r="S16" s="390"/>
    </row>
    <row r="17" spans="1:19" s="80" customFormat="1" ht="16.5" x14ac:dyDescent="0.25">
      <c r="A17" s="141"/>
      <c r="B17" s="126" t="s">
        <v>199</v>
      </c>
      <c r="C17" s="72"/>
      <c r="D17" s="88" t="s">
        <v>102</v>
      </c>
      <c r="E17" s="146">
        <v>0.05</v>
      </c>
      <c r="F17" s="479">
        <f>F16*E17</f>
        <v>478057</v>
      </c>
      <c r="G17" s="479"/>
      <c r="H17" s="480"/>
      <c r="I17" s="145"/>
      <c r="J17" s="76"/>
      <c r="K17" s="76"/>
      <c r="L17" s="387"/>
      <c r="M17" s="387"/>
      <c r="N17" s="388"/>
      <c r="O17" s="387"/>
      <c r="P17" s="387"/>
      <c r="Q17" s="391"/>
      <c r="R17" s="478"/>
      <c r="S17" s="392"/>
    </row>
    <row r="18" spans="1:19" ht="16.5" x14ac:dyDescent="0.25">
      <c r="A18" s="81"/>
      <c r="B18" s="126" t="s">
        <v>115</v>
      </c>
      <c r="C18" s="72"/>
      <c r="D18" s="88" t="s">
        <v>102</v>
      </c>
      <c r="E18" s="146"/>
      <c r="F18" s="481"/>
      <c r="G18" s="479"/>
      <c r="H18" s="479"/>
      <c r="I18" s="482"/>
      <c r="J18" s="79"/>
      <c r="K18" s="79"/>
      <c r="L18" s="378" t="s">
        <v>33</v>
      </c>
      <c r="M18" s="378"/>
      <c r="N18" s="147">
        <f ca="1">C2</f>
        <v>45932.593793518521</v>
      </c>
      <c r="O18" s="379">
        <f>F27</f>
        <v>50000</v>
      </c>
      <c r="P18" s="379"/>
      <c r="Q18" s="483"/>
      <c r="R18" s="484"/>
      <c r="S18" s="485"/>
    </row>
    <row r="19" spans="1:19" s="80" customFormat="1" ht="16.5" x14ac:dyDescent="0.25">
      <c r="A19" s="141"/>
      <c r="B19" s="148" t="s">
        <v>200</v>
      </c>
      <c r="C19" s="73"/>
      <c r="D19" s="85" t="s">
        <v>102</v>
      </c>
      <c r="E19" s="149"/>
      <c r="F19" s="502">
        <f>F16-(F17+F18)</f>
        <v>9083083</v>
      </c>
      <c r="G19" s="385"/>
      <c r="H19" s="385"/>
      <c r="I19" s="386"/>
      <c r="J19" s="76"/>
      <c r="K19" s="76"/>
      <c r="L19" s="378" t="str">
        <f>B30</f>
        <v>1ST SPOT CASH PAYMENT</v>
      </c>
      <c r="M19" s="378"/>
      <c r="N19" s="147">
        <f ca="1">N18+30</f>
        <v>45962.593793518521</v>
      </c>
      <c r="O19" s="379">
        <f>SUM(F30)</f>
        <v>4875084.25</v>
      </c>
      <c r="P19" s="379"/>
      <c r="Q19" s="483"/>
      <c r="R19" s="484"/>
      <c r="S19" s="485"/>
    </row>
    <row r="20" spans="1:19" ht="16.5" x14ac:dyDescent="0.25">
      <c r="A20" s="141"/>
      <c r="B20" s="150"/>
      <c r="C20" s="83"/>
      <c r="D20" s="88"/>
      <c r="E20" s="88"/>
      <c r="F20" s="151"/>
      <c r="G20" s="151"/>
      <c r="H20" s="151"/>
      <c r="I20" s="76"/>
      <c r="J20" s="76"/>
      <c r="K20" s="76"/>
      <c r="L20" s="378" t="str">
        <f>B31</f>
        <v>2ND/FULL BALANCE PAYMENT</v>
      </c>
      <c r="M20" s="378"/>
      <c r="N20" s="147">
        <f ca="1">N19+30</f>
        <v>45992.593793518521</v>
      </c>
      <c r="O20" s="379">
        <f>SUM(F31)</f>
        <v>4875084.25</v>
      </c>
      <c r="P20" s="379"/>
      <c r="Q20" s="483"/>
      <c r="R20" s="484"/>
      <c r="S20" s="485"/>
    </row>
    <row r="21" spans="1:19" ht="16.5" hidden="1" x14ac:dyDescent="0.25">
      <c r="A21" s="141"/>
      <c r="B21" s="74" t="s">
        <v>118</v>
      </c>
      <c r="C21" s="74"/>
      <c r="D21" s="88" t="s">
        <v>102</v>
      </c>
      <c r="E21" s="152">
        <v>0</v>
      </c>
      <c r="F21" s="490">
        <f>E21*F19</f>
        <v>0</v>
      </c>
      <c r="G21" s="491"/>
      <c r="H21" s="492"/>
      <c r="I21" s="130"/>
      <c r="J21" s="76"/>
      <c r="K21" s="76"/>
      <c r="L21" s="85"/>
      <c r="M21" s="85"/>
      <c r="N21" s="84"/>
      <c r="O21" s="86"/>
      <c r="P21" s="86"/>
      <c r="Q21" s="86"/>
      <c r="R21" s="79"/>
      <c r="S21" s="79"/>
    </row>
    <row r="22" spans="1:19" ht="16.5" x14ac:dyDescent="0.25">
      <c r="A22" s="141"/>
      <c r="B22" s="154" t="s">
        <v>121</v>
      </c>
      <c r="C22" s="74"/>
      <c r="D22" s="88" t="s">
        <v>102</v>
      </c>
      <c r="E22" s="152">
        <v>7.4999999999999997E-2</v>
      </c>
      <c r="F22" s="457">
        <f>E22*F16</f>
        <v>717085.5</v>
      </c>
      <c r="G22" s="454"/>
      <c r="H22" s="493"/>
      <c r="I22" s="133"/>
      <c r="J22" s="76"/>
      <c r="K22" s="76"/>
      <c r="L22" s="85"/>
      <c r="M22" s="85"/>
      <c r="N22" s="84"/>
      <c r="O22" s="86"/>
      <c r="P22" s="86"/>
      <c r="Q22" s="86"/>
      <c r="R22" s="79"/>
      <c r="S22" s="79"/>
    </row>
    <row r="23" spans="1:19" ht="16.5" x14ac:dyDescent="0.25">
      <c r="A23" s="81"/>
      <c r="B23" s="156"/>
      <c r="C23" s="87"/>
      <c r="D23" s="88"/>
      <c r="E23" s="76"/>
      <c r="F23" s="151"/>
      <c r="G23" s="151"/>
      <c r="H23" s="151"/>
      <c r="I23" s="76"/>
      <c r="J23" s="79"/>
      <c r="K23" s="76"/>
      <c r="L23" s="157"/>
      <c r="M23" s="76" t="s">
        <v>190</v>
      </c>
      <c r="N23" s="78"/>
      <c r="O23" s="76"/>
      <c r="P23" s="76"/>
      <c r="Q23" s="76"/>
      <c r="R23" s="76"/>
      <c r="S23" s="76"/>
    </row>
    <row r="24" spans="1:19" ht="16.5" x14ac:dyDescent="0.25">
      <c r="A24" s="141"/>
      <c r="B24" s="148" t="s">
        <v>32</v>
      </c>
      <c r="C24" s="73"/>
      <c r="D24" s="85" t="s">
        <v>102</v>
      </c>
      <c r="E24" s="158"/>
      <c r="F24" s="494">
        <f>F19+F21+F22</f>
        <v>9800168.5</v>
      </c>
      <c r="G24" s="495"/>
      <c r="H24" s="496"/>
      <c r="I24" s="145"/>
      <c r="J24" s="76"/>
      <c r="K24" s="79"/>
      <c r="L24" s="157"/>
      <c r="M24" s="76"/>
      <c r="N24" s="78"/>
      <c r="O24" s="76"/>
      <c r="P24" s="76"/>
      <c r="Q24" s="76"/>
      <c r="R24" s="76"/>
      <c r="S24" s="76"/>
    </row>
    <row r="25" spans="1:19" s="80" customFormat="1" ht="16.5" x14ac:dyDescent="0.25">
      <c r="A25" s="141"/>
      <c r="B25" s="150"/>
      <c r="C25" s="76"/>
      <c r="D25" s="88"/>
      <c r="E25" s="76"/>
      <c r="F25" s="151"/>
      <c r="G25" s="151"/>
      <c r="H25" s="151"/>
      <c r="I25" s="76"/>
      <c r="J25" s="76"/>
      <c r="K25" s="76"/>
      <c r="L25" s="79" t="s">
        <v>185</v>
      </c>
      <c r="M25" s="79"/>
      <c r="N25" s="85"/>
      <c r="O25" s="79"/>
      <c r="P25" s="96"/>
      <c r="Q25" s="79" t="s">
        <v>186</v>
      </c>
      <c r="R25" s="76"/>
      <c r="S25" s="76"/>
    </row>
    <row r="26" spans="1:19" ht="16.5" x14ac:dyDescent="0.25">
      <c r="A26" s="81"/>
      <c r="B26" s="501" t="s">
        <v>201</v>
      </c>
      <c r="C26" s="501"/>
      <c r="D26" s="85" t="s">
        <v>102</v>
      </c>
      <c r="E26" s="159">
        <v>1</v>
      </c>
      <c r="F26" s="497">
        <f>F24*E26</f>
        <v>9800168.5</v>
      </c>
      <c r="G26" s="495"/>
      <c r="H26" s="495"/>
      <c r="I26" s="498"/>
      <c r="J26" s="79"/>
      <c r="K26" s="76"/>
      <c r="L26" s="76"/>
      <c r="M26" s="76"/>
      <c r="N26" s="88"/>
      <c r="O26" s="76"/>
      <c r="P26" s="76"/>
      <c r="Q26" s="76"/>
      <c r="R26" s="76"/>
      <c r="S26" s="76"/>
    </row>
    <row r="27" spans="1:19" s="80" customFormat="1" ht="16.5" x14ac:dyDescent="0.25">
      <c r="A27" s="141"/>
      <c r="B27" s="364" t="s">
        <v>202</v>
      </c>
      <c r="C27" s="364"/>
      <c r="D27" s="88" t="s">
        <v>102</v>
      </c>
      <c r="E27" s="160"/>
      <c r="F27" s="490">
        <f>'SPC Unit A'!F26</f>
        <v>50000</v>
      </c>
      <c r="G27" s="491"/>
      <c r="H27" s="491"/>
      <c r="I27" s="499"/>
      <c r="J27" s="79"/>
      <c r="K27" s="79"/>
      <c r="L27" s="76"/>
      <c r="M27" s="76"/>
      <c r="N27" s="88"/>
      <c r="O27" s="76"/>
      <c r="P27" s="76"/>
      <c r="Q27" s="76"/>
      <c r="R27" s="76"/>
      <c r="S27" s="76"/>
    </row>
    <row r="28" spans="1:19" s="80" customFormat="1" ht="16.5" x14ac:dyDescent="0.25">
      <c r="A28" s="81"/>
      <c r="B28" s="501" t="s">
        <v>203</v>
      </c>
      <c r="C28" s="501"/>
      <c r="D28" s="85" t="s">
        <v>102</v>
      </c>
      <c r="E28" s="161"/>
      <c r="F28" s="497">
        <f>F26-F27</f>
        <v>9750168.5</v>
      </c>
      <c r="G28" s="495"/>
      <c r="H28" s="495"/>
      <c r="I28" s="498"/>
      <c r="J28" s="76"/>
      <c r="K28" s="79"/>
      <c r="L28" s="420">
        <f>B36</f>
        <v>0</v>
      </c>
      <c r="M28" s="420"/>
      <c r="N28" s="420"/>
      <c r="O28" s="79"/>
      <c r="P28" s="79"/>
      <c r="Q28" s="420"/>
      <c r="R28" s="420"/>
      <c r="S28" s="420"/>
    </row>
    <row r="29" spans="1:19" ht="16.5" x14ac:dyDescent="0.25">
      <c r="A29" s="141"/>
      <c r="B29" s="150"/>
      <c r="C29" s="76"/>
      <c r="D29" s="88"/>
      <c r="E29" s="76"/>
      <c r="F29" s="76"/>
      <c r="G29" s="76"/>
      <c r="H29" s="76"/>
      <c r="I29" s="76"/>
      <c r="J29" s="76"/>
      <c r="K29" s="76"/>
      <c r="L29" s="89" t="s">
        <v>187</v>
      </c>
      <c r="M29" s="488">
        <f>C37</f>
        <v>0</v>
      </c>
      <c r="N29" s="489"/>
      <c r="O29" s="76"/>
      <c r="P29" s="76"/>
      <c r="Q29" s="90" t="s">
        <v>188</v>
      </c>
      <c r="R29" s="488"/>
      <c r="S29" s="489"/>
    </row>
    <row r="30" spans="1:19" ht="16.5" x14ac:dyDescent="0.3">
      <c r="A30" s="141"/>
      <c r="B30" s="501" t="s">
        <v>205</v>
      </c>
      <c r="C30" s="501"/>
      <c r="D30" s="85" t="s">
        <v>102</v>
      </c>
      <c r="E30" s="162">
        <v>2</v>
      </c>
      <c r="F30" s="497">
        <f>F28/E30</f>
        <v>4875084.25</v>
      </c>
      <c r="G30" s="495"/>
      <c r="H30" s="495"/>
      <c r="I30" s="498"/>
      <c r="J30" s="79"/>
      <c r="K30" s="76"/>
      <c r="L30" s="91"/>
      <c r="M30" s="91"/>
      <c r="N30" s="92"/>
      <c r="O30" s="91"/>
      <c r="P30" s="91"/>
      <c r="Q30" s="91"/>
      <c r="R30" s="91"/>
      <c r="S30" s="91"/>
    </row>
    <row r="31" spans="1:19" ht="12.75" customHeight="1" x14ac:dyDescent="0.25">
      <c r="A31" s="141"/>
      <c r="B31" s="501" t="s">
        <v>206</v>
      </c>
      <c r="C31" s="501"/>
      <c r="D31" s="85" t="s">
        <v>102</v>
      </c>
      <c r="E31" s="163"/>
      <c r="F31" s="497">
        <f>F30</f>
        <v>4875084.25</v>
      </c>
      <c r="G31" s="495"/>
      <c r="H31" s="495"/>
      <c r="I31" s="498"/>
      <c r="J31" s="76"/>
      <c r="K31" s="76"/>
    </row>
    <row r="32" spans="1:19" ht="12.75" customHeight="1" x14ac:dyDescent="0.25">
      <c r="A32" s="141"/>
      <c r="B32" s="164"/>
      <c r="C32" s="164"/>
      <c r="D32" s="88"/>
      <c r="E32" s="76"/>
      <c r="F32" s="76"/>
      <c r="G32" s="76"/>
      <c r="H32" s="76"/>
      <c r="I32" s="76"/>
      <c r="J32" s="76"/>
      <c r="K32" s="76"/>
    </row>
    <row r="33" spans="1:11" ht="11.45" customHeight="1" x14ac:dyDescent="0.25">
      <c r="A33" s="141"/>
      <c r="B33" s="79" t="s">
        <v>185</v>
      </c>
      <c r="C33" s="79"/>
      <c r="D33" s="85"/>
      <c r="E33" s="79"/>
      <c r="G33" s="79" t="s">
        <v>186</v>
      </c>
      <c r="H33" s="76"/>
      <c r="I33" s="76"/>
      <c r="J33" s="76"/>
      <c r="K33" s="76"/>
    </row>
    <row r="34" spans="1:11" ht="16.5" x14ac:dyDescent="0.25">
      <c r="A34" s="141"/>
      <c r="B34" s="76"/>
      <c r="C34" s="76"/>
      <c r="D34" s="88"/>
      <c r="E34" s="76"/>
      <c r="F34" s="76"/>
      <c r="G34" s="76"/>
      <c r="H34" s="76"/>
      <c r="I34" s="76"/>
      <c r="J34" s="76"/>
      <c r="K34" s="76"/>
    </row>
    <row r="35" spans="1:11" ht="16.5" x14ac:dyDescent="0.25">
      <c r="A35" s="141"/>
      <c r="B35" s="76"/>
      <c r="C35" s="76"/>
      <c r="D35" s="88"/>
      <c r="E35" s="76"/>
      <c r="F35" s="76"/>
      <c r="G35" s="76"/>
      <c r="H35" s="76"/>
      <c r="I35" s="76"/>
      <c r="J35" s="79"/>
      <c r="K35" s="76"/>
    </row>
    <row r="36" spans="1:11" ht="12.75" customHeight="1" x14ac:dyDescent="0.25">
      <c r="A36" s="141"/>
      <c r="B36" s="420">
        <f>'SPC Unit A'!B70</f>
        <v>0</v>
      </c>
      <c r="C36" s="420"/>
      <c r="D36" s="420"/>
      <c r="E36" s="79"/>
      <c r="F36" s="79"/>
      <c r="G36" s="420">
        <f>[3]FORM!I28</f>
        <v>0</v>
      </c>
      <c r="H36" s="420"/>
      <c r="I36" s="420"/>
      <c r="J36" s="76"/>
      <c r="K36" s="76"/>
    </row>
    <row r="37" spans="1:11" ht="12.75" customHeight="1" x14ac:dyDescent="0.25">
      <c r="A37" s="141"/>
      <c r="B37" s="89" t="s">
        <v>188</v>
      </c>
      <c r="C37" s="488"/>
      <c r="D37" s="489"/>
      <c r="E37" s="76"/>
      <c r="F37" s="76"/>
      <c r="G37" s="90" t="s">
        <v>188</v>
      </c>
      <c r="H37" s="488">
        <f>C37</f>
        <v>0</v>
      </c>
      <c r="I37" s="489"/>
      <c r="J37" s="76"/>
      <c r="K37" s="76"/>
    </row>
    <row r="38" spans="1:11" ht="12.75" customHeight="1" x14ac:dyDescent="0.25">
      <c r="A38" s="141"/>
      <c r="B38" s="76"/>
      <c r="C38" s="76"/>
      <c r="D38" s="88"/>
      <c r="E38" s="76"/>
      <c r="F38" s="76"/>
      <c r="G38" s="76"/>
      <c r="H38" s="76"/>
      <c r="I38" s="76"/>
      <c r="J38" s="76"/>
      <c r="K38" s="76"/>
    </row>
    <row r="39" spans="1:11" ht="12.75" customHeight="1" x14ac:dyDescent="0.3">
      <c r="B39" s="76"/>
      <c r="C39" s="76"/>
      <c r="D39" s="88"/>
      <c r="E39" s="76"/>
      <c r="F39" s="76"/>
      <c r="G39" s="76"/>
      <c r="H39" s="76"/>
      <c r="I39" s="76"/>
      <c r="J39" s="91"/>
      <c r="K39" s="79"/>
    </row>
    <row r="40" spans="1:11" ht="12.75" customHeight="1" x14ac:dyDescent="0.3">
      <c r="B40" s="91"/>
      <c r="C40" s="91"/>
      <c r="D40" s="93"/>
      <c r="E40" s="91"/>
      <c r="F40" s="91"/>
      <c r="G40" s="91"/>
      <c r="H40" s="91"/>
      <c r="I40" s="91"/>
      <c r="J40" s="91"/>
      <c r="K40" s="91"/>
    </row>
    <row r="41" spans="1:11" ht="16.5" x14ac:dyDescent="0.3">
      <c r="B41" s="91"/>
      <c r="C41" s="91"/>
      <c r="D41" s="93"/>
      <c r="E41" s="91"/>
      <c r="F41" s="91"/>
      <c r="G41" s="91"/>
      <c r="H41" s="91"/>
      <c r="I41" s="91"/>
      <c r="J41" s="91"/>
      <c r="K41" s="91"/>
    </row>
    <row r="42" spans="1:11" ht="16.5" x14ac:dyDescent="0.3">
      <c r="B42" s="91"/>
      <c r="C42" s="91"/>
      <c r="D42" s="93"/>
      <c r="E42" s="91"/>
      <c r="F42" s="91"/>
      <c r="G42" s="91"/>
      <c r="H42" s="91"/>
      <c r="I42" s="91"/>
      <c r="J42" s="91"/>
      <c r="K42" s="91"/>
    </row>
    <row r="43" spans="1:11" ht="16.5" x14ac:dyDescent="0.3">
      <c r="A43" s="94">
        <f>F19*E21</f>
        <v>0</v>
      </c>
      <c r="B43" s="91"/>
      <c r="C43" s="91"/>
      <c r="D43" s="93"/>
      <c r="E43" s="91"/>
      <c r="F43" s="91"/>
      <c r="G43" s="91"/>
      <c r="H43" s="91"/>
      <c r="I43" s="91"/>
      <c r="J43" s="91"/>
      <c r="K43" s="91"/>
    </row>
    <row r="44" spans="1:11" ht="16.5" x14ac:dyDescent="0.3">
      <c r="B44" s="91"/>
      <c r="C44" s="91"/>
      <c r="D44" s="93"/>
      <c r="E44" s="91"/>
      <c r="F44" s="91"/>
      <c r="G44" s="91"/>
      <c r="H44" s="91"/>
      <c r="I44" s="91"/>
      <c r="J44" s="91"/>
      <c r="K44" s="91"/>
    </row>
    <row r="45" spans="1:11" ht="16.5" x14ac:dyDescent="0.3">
      <c r="A45" s="95">
        <f>F19*12%</f>
        <v>1089969.96</v>
      </c>
      <c r="B45" s="91"/>
      <c r="C45" s="91"/>
      <c r="D45" s="93"/>
      <c r="E45" s="91"/>
      <c r="F45" s="91"/>
      <c r="G45" s="91"/>
      <c r="H45" s="91"/>
      <c r="I45" s="91"/>
      <c r="K45" s="91"/>
    </row>
    <row r="46" spans="1:11" ht="16.5" x14ac:dyDescent="0.3">
      <c r="K46" s="91"/>
    </row>
    <row r="47" spans="1:11" ht="16.5" x14ac:dyDescent="0.3">
      <c r="K47" s="91"/>
    </row>
    <row r="48" spans="1:11" ht="16.5" x14ac:dyDescent="0.3">
      <c r="K48" s="91"/>
    </row>
  </sheetData>
  <mergeCells count="59">
    <mergeCell ref="B36:D36"/>
    <mergeCell ref="G36:I36"/>
    <mergeCell ref="C37:D37"/>
    <mergeCell ref="H37:I37"/>
    <mergeCell ref="Q20:S20"/>
    <mergeCell ref="B30:C30"/>
    <mergeCell ref="B31:C31"/>
    <mergeCell ref="F30:I30"/>
    <mergeCell ref="F31:I31"/>
    <mergeCell ref="B28:C28"/>
    <mergeCell ref="F28:I28"/>
    <mergeCell ref="L28:N28"/>
    <mergeCell ref="Q28:S28"/>
    <mergeCell ref="M29:N29"/>
    <mergeCell ref="R29:S29"/>
    <mergeCell ref="F21:H21"/>
    <mergeCell ref="F22:H22"/>
    <mergeCell ref="F24:H24"/>
    <mergeCell ref="B26:C26"/>
    <mergeCell ref="F26:I26"/>
    <mergeCell ref="B27:C27"/>
    <mergeCell ref="F27:I27"/>
    <mergeCell ref="F19:I19"/>
    <mergeCell ref="L19:M19"/>
    <mergeCell ref="O19:P19"/>
    <mergeCell ref="Q19:S19"/>
    <mergeCell ref="L20:M20"/>
    <mergeCell ref="O20:P20"/>
    <mergeCell ref="Q16:S17"/>
    <mergeCell ref="F17:H17"/>
    <mergeCell ref="F18:I18"/>
    <mergeCell ref="L18:M18"/>
    <mergeCell ref="O18:P18"/>
    <mergeCell ref="Q18:S18"/>
    <mergeCell ref="E14:F14"/>
    <mergeCell ref="O14:P14"/>
    <mergeCell ref="F16:H16"/>
    <mergeCell ref="L16:M17"/>
    <mergeCell ref="N16:N17"/>
    <mergeCell ref="O16:P17"/>
    <mergeCell ref="E11:I11"/>
    <mergeCell ref="O11:S11"/>
    <mergeCell ref="E12:G12"/>
    <mergeCell ref="O12:P12"/>
    <mergeCell ref="E13:G13"/>
    <mergeCell ref="O13:P13"/>
    <mergeCell ref="E8:I8"/>
    <mergeCell ref="O8:S8"/>
    <mergeCell ref="E9:I9"/>
    <mergeCell ref="O9:S9"/>
    <mergeCell ref="E10:I10"/>
    <mergeCell ref="O10:S10"/>
    <mergeCell ref="E7:I7"/>
    <mergeCell ref="O7:S7"/>
    <mergeCell ref="H2:I2"/>
    <mergeCell ref="R2:S2"/>
    <mergeCell ref="R3:S3"/>
    <mergeCell ref="B4:I5"/>
    <mergeCell ref="L4:S5"/>
  </mergeCells>
  <phoneticPr fontId="2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9A57D1AED29941ACBF21D8C4A8CB3E" ma:contentTypeVersion="12" ma:contentTypeDescription="Create a new document." ma:contentTypeScope="" ma:versionID="aeee2e3529a51bdf47f9e0ca66f3fd99">
  <xsd:schema xmlns:xsd="http://www.w3.org/2001/XMLSchema" xmlns:xs="http://www.w3.org/2001/XMLSchema" xmlns:p="http://schemas.microsoft.com/office/2006/metadata/properties" xmlns:ns2="55966ea1-fe58-4218-b628-0018c859dab0" xmlns:ns3="48c94ed0-3c20-4b8e-8119-053507d1e0d0" targetNamespace="http://schemas.microsoft.com/office/2006/metadata/properties" ma:root="true" ma:fieldsID="a03ef8fd52fb47337656b0f69de359df" ns2:_="" ns3:_="">
    <xsd:import namespace="55966ea1-fe58-4218-b628-0018c859dab0"/>
    <xsd:import namespace="48c94ed0-3c20-4b8e-8119-053507d1e0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966ea1-fe58-4218-b628-0018c859da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3ecd6dd-7a73-4453-9500-d28893ef66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94ed0-3c20-4b8e-8119-053507d1e0d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b3de1ab-db7a-47b7-8840-27a09ebaf4c1}" ma:internalName="TaxCatchAll" ma:showField="CatchAllData" ma:web="48c94ed0-3c20-4b8e-8119-053507d1e0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966ea1-fe58-4218-b628-0018c859dab0">
      <Terms xmlns="http://schemas.microsoft.com/office/infopath/2007/PartnerControls"/>
    </lcf76f155ced4ddcb4097134ff3c332f>
    <TaxCatchAll xmlns="48c94ed0-3c20-4b8e-8119-053507d1e0d0" xsi:nil="true"/>
  </documentManagement>
</p:properties>
</file>

<file path=customXml/itemProps1.xml><?xml version="1.0" encoding="utf-8"?>
<ds:datastoreItem xmlns:ds="http://schemas.openxmlformats.org/officeDocument/2006/customXml" ds:itemID="{CD3C29EC-114D-4E9D-B844-90C7A4E3B8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AAC5D0-E9C6-4FD4-A62D-484B9850BD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966ea1-fe58-4218-b628-0018c859dab0"/>
    <ds:schemaRef ds:uri="48c94ed0-3c20-4b8e-8119-053507d1e0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07B1E93-BFB1-4ADC-933D-6FE4A5E63576}">
  <ds:schemaRefs>
    <ds:schemaRef ds:uri="http://schemas.microsoft.com/office/2006/metadata/properties"/>
    <ds:schemaRef ds:uri="http://schemas.microsoft.com/office/infopath/2007/PartnerControls"/>
    <ds:schemaRef ds:uri="55966ea1-fe58-4218-b628-0018c859dab0"/>
    <ds:schemaRef ds:uri="48c94ed0-3c20-4b8e-8119-053507d1e0d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5</vt:i4>
      </vt:variant>
    </vt:vector>
  </HeadingPairs>
  <TitlesOfParts>
    <vt:vector size="18" baseType="lpstr">
      <vt:lpstr>Internal Pricelist</vt:lpstr>
      <vt:lpstr>internal pricelist 3FLRS Sep-25</vt:lpstr>
      <vt:lpstr>Internal pricelistV2 7-Aug-24</vt:lpstr>
      <vt:lpstr>Lay Out June-18-2024</vt:lpstr>
      <vt:lpstr>Pricelink</vt:lpstr>
      <vt:lpstr>SPC Unit A</vt:lpstr>
      <vt:lpstr>SPC Unit C</vt:lpstr>
      <vt:lpstr>SPC Unit D</vt:lpstr>
      <vt:lpstr>SPC Unit E</vt:lpstr>
      <vt:lpstr>SPC Unit F</vt:lpstr>
      <vt:lpstr>Spot Equity 7 Days</vt:lpstr>
      <vt:lpstr>Spot Cash_30 Days</vt:lpstr>
      <vt:lpstr>Spot Cash_60 Days</vt:lpstr>
      <vt:lpstr>'SPC Unit A'!Print_Area</vt:lpstr>
      <vt:lpstr>'SPC Unit C'!Print_Area</vt:lpstr>
      <vt:lpstr>'SPC Unit D'!Print_Area</vt:lpstr>
      <vt:lpstr>'SPC Unit E'!Print_Area</vt:lpstr>
      <vt:lpstr>'SPC Unit F'!Print_Area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Shiela Oaman</dc:creator>
  <cp:keywords/>
  <dc:description/>
  <cp:lastModifiedBy>Reynante Jhey C. Santos</cp:lastModifiedBy>
  <cp:revision/>
  <cp:lastPrinted>2025-10-02T06:15:17Z</cp:lastPrinted>
  <dcterms:created xsi:type="dcterms:W3CDTF">2021-05-03T12:59:43Z</dcterms:created>
  <dcterms:modified xsi:type="dcterms:W3CDTF">2025-10-02T06:15:21Z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0x010100BF9A57D1AED29941ACBF21D8C4A8CB3E</vt:lpwstr>
  </property>
  <property fmtid="{D5CDD505-2E9C-101B-9397-08002B2CF9AE}" pid="3" name="MediaServiceImageTags">
    <vt:lpwstr/>
  </property>
</Properties>
</file>